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nilimal\OneDrive - SPC\Documents\New Caledonia\Dissemination\Kava\"/>
    </mc:Choice>
  </mc:AlternateContent>
  <xr:revisionPtr revIDLastSave="0" documentId="13_ncr:1_{93B7B5BC-7F26-49DF-84C8-84CE1A3EF3EE}" xr6:coauthVersionLast="47" xr6:coauthVersionMax="47" xr10:uidLastSave="{00000000-0000-0000-0000-000000000000}"/>
  <bookViews>
    <workbookView xWindow="-110" yWindow="-110" windowWidth="19420" windowHeight="10420" tabRatio="857" firstSheet="4" activeTab="10" xr2:uid="{509D4649-DEA1-47BC-A559-AEFDE73CFDCA}"/>
  </bookViews>
  <sheets>
    <sheet name="1_FJ_Production_Consumption" sheetId="10" r:id="rId1"/>
    <sheet name="2_FJ_Imports_" sheetId="13" r:id="rId2"/>
    <sheet name="3_FJ_Exports" sheetId="12" r:id="rId3"/>
    <sheet name="4_FJ_Contribution to GDP" sheetId="22" r:id="rId4"/>
    <sheet name="5_TO_Exports" sheetId="15" r:id="rId5"/>
    <sheet name="6_FSM_Exports" sheetId="7" r:id="rId6"/>
    <sheet name="7_VN_Exports" sheetId="20" r:id="rId7"/>
    <sheet name="8_SI_Exports" sheetId="16" r:id="rId8"/>
    <sheet name="9_WS_Imports_Exports" sheetId="17" r:id="rId9"/>
    <sheet name="10_KI_Imports" sheetId="18" r:id="rId10"/>
    <sheet name="11_AM_Imports " sheetId="2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20" l="1"/>
  <c r="C21" i="7"/>
  <c r="C22" i="7"/>
  <c r="C23" i="7"/>
  <c r="E13" i="18"/>
  <c r="C13" i="18"/>
  <c r="I13" i="18"/>
  <c r="F13" i="18"/>
  <c r="G13" i="18" s="1"/>
  <c r="C19" i="16"/>
  <c r="E19" i="16"/>
  <c r="I20" i="12"/>
  <c r="I19" i="12"/>
  <c r="F19" i="12"/>
  <c r="G19" i="12" s="1"/>
  <c r="F20" i="12"/>
  <c r="G20" i="12" s="1"/>
  <c r="E19" i="12"/>
  <c r="E20" i="12"/>
  <c r="C19" i="12"/>
  <c r="C20" i="12"/>
  <c r="I19" i="13"/>
  <c r="I20" i="13"/>
  <c r="I19" i="10"/>
  <c r="G19" i="10"/>
  <c r="G20" i="10"/>
  <c r="F19" i="10"/>
  <c r="F20" i="10"/>
  <c r="E19" i="10"/>
  <c r="E20" i="10"/>
  <c r="C19" i="10"/>
  <c r="C20" i="10"/>
  <c r="I15" i="17"/>
  <c r="G15" i="17"/>
  <c r="E15" i="17"/>
  <c r="C15" i="17"/>
  <c r="I12" i="7"/>
  <c r="I11" i="7"/>
  <c r="I10" i="7"/>
  <c r="I9" i="7"/>
  <c r="I8" i="7"/>
  <c r="I7" i="7"/>
  <c r="I6" i="7"/>
  <c r="I5" i="7"/>
  <c r="I4" i="7"/>
  <c r="F4" i="7"/>
  <c r="F12" i="7"/>
  <c r="F11" i="7"/>
  <c r="G12" i="7" s="1"/>
  <c r="F10" i="7"/>
  <c r="G10" i="7" s="1"/>
  <c r="F9" i="7"/>
  <c r="F8" i="7"/>
  <c r="G8" i="7" s="1"/>
  <c r="F7" i="7"/>
  <c r="F6" i="7"/>
  <c r="G7" i="7" s="1"/>
  <c r="F5" i="7"/>
  <c r="E6" i="7"/>
  <c r="E7" i="7"/>
  <c r="E8" i="7"/>
  <c r="E9" i="7"/>
  <c r="E10" i="7"/>
  <c r="E11" i="7"/>
  <c r="E12" i="7"/>
  <c r="E13" i="7"/>
  <c r="E5" i="7"/>
  <c r="C13" i="7"/>
  <c r="C6" i="7"/>
  <c r="C7" i="7"/>
  <c r="C8" i="7"/>
  <c r="C9" i="7"/>
  <c r="C10" i="7"/>
  <c r="C11" i="7"/>
  <c r="C12" i="7"/>
  <c r="C5" i="7"/>
  <c r="G9" i="7" l="1"/>
  <c r="G11" i="7"/>
  <c r="G6" i="7"/>
  <c r="G5" i="7"/>
  <c r="C12" i="18"/>
  <c r="B18" i="13"/>
  <c r="I12" i="20"/>
  <c r="E12" i="20" l="1"/>
  <c r="C12" i="20"/>
  <c r="F12" i="20"/>
  <c r="C7" i="16"/>
  <c r="C8" i="16"/>
  <c r="C9" i="16"/>
  <c r="C10" i="16"/>
  <c r="C11" i="16"/>
  <c r="C12" i="16"/>
  <c r="C13" i="16"/>
  <c r="C14" i="16"/>
  <c r="C15" i="16"/>
  <c r="C16" i="16"/>
  <c r="C17" i="16"/>
  <c r="C18" i="16"/>
  <c r="C6" i="16"/>
  <c r="E5" i="16"/>
  <c r="E6" i="16"/>
  <c r="E7" i="16"/>
  <c r="E8" i="16"/>
  <c r="E9" i="16"/>
  <c r="E10" i="16"/>
  <c r="E11" i="16"/>
  <c r="E12" i="16"/>
  <c r="E13" i="16"/>
  <c r="E14" i="16"/>
  <c r="E15" i="16"/>
  <c r="E16" i="16"/>
  <c r="E17" i="16"/>
  <c r="E18" i="16"/>
  <c r="F13" i="7"/>
  <c r="G13" i="7" s="1"/>
  <c r="I13" i="7"/>
  <c r="E13" i="21" l="1"/>
  <c r="C13" i="21"/>
  <c r="E12" i="21"/>
  <c r="C12" i="21"/>
  <c r="E11" i="21"/>
  <c r="C11" i="21"/>
  <c r="E10" i="21"/>
  <c r="C10" i="21"/>
  <c r="E9" i="21"/>
  <c r="C9" i="21"/>
  <c r="E8" i="21"/>
  <c r="C8" i="21"/>
  <c r="E7" i="21"/>
  <c r="C7" i="21"/>
  <c r="E6" i="21"/>
  <c r="C6" i="21"/>
  <c r="E5" i="21"/>
  <c r="C5" i="21"/>
  <c r="E4" i="21"/>
  <c r="I11" i="20"/>
  <c r="F11" i="20"/>
  <c r="G12" i="20" s="1"/>
  <c r="E11" i="20"/>
  <c r="C11" i="20"/>
  <c r="I10" i="20"/>
  <c r="F10" i="20"/>
  <c r="E10" i="20"/>
  <c r="C10" i="20"/>
  <c r="I9" i="20"/>
  <c r="F9" i="20"/>
  <c r="E9" i="20"/>
  <c r="C9" i="20"/>
  <c r="I8" i="20"/>
  <c r="F8" i="20"/>
  <c r="E8" i="20"/>
  <c r="C8" i="20"/>
  <c r="I7" i="20"/>
  <c r="F7" i="20"/>
  <c r="E7" i="20"/>
  <c r="C7" i="20"/>
  <c r="I6" i="20"/>
  <c r="F6" i="20"/>
  <c r="E6" i="20"/>
  <c r="C6" i="20"/>
  <c r="I5" i="20"/>
  <c r="F5" i="20"/>
  <c r="E5" i="20"/>
  <c r="C5" i="20"/>
  <c r="I4" i="20"/>
  <c r="F4" i="20"/>
  <c r="G5" i="20" l="1"/>
  <c r="G8" i="20"/>
  <c r="G10" i="20"/>
  <c r="G6" i="20"/>
  <c r="G7" i="20"/>
  <c r="G9" i="20"/>
  <c r="G11" i="20"/>
  <c r="I5" i="18" l="1"/>
  <c r="I6" i="18"/>
  <c r="I7" i="18"/>
  <c r="I8" i="18"/>
  <c r="I9" i="18"/>
  <c r="I10" i="18"/>
  <c r="I11" i="18"/>
  <c r="I12" i="18"/>
  <c r="I4" i="18"/>
  <c r="E5" i="18" l="1"/>
  <c r="E6" i="18"/>
  <c r="E7" i="18"/>
  <c r="E8" i="18"/>
  <c r="E9" i="18"/>
  <c r="E10" i="18"/>
  <c r="E11" i="18"/>
  <c r="E12" i="18"/>
  <c r="C5" i="18"/>
  <c r="C6" i="18"/>
  <c r="C7" i="18"/>
  <c r="C8" i="18"/>
  <c r="C9" i="18"/>
  <c r="C10" i="18"/>
  <c r="C11" i="18"/>
  <c r="F12" i="18"/>
  <c r="G12" i="18" s="1"/>
  <c r="F11" i="18"/>
  <c r="F10" i="18"/>
  <c r="F9" i="18"/>
  <c r="F8" i="18"/>
  <c r="F7" i="18"/>
  <c r="F6" i="18"/>
  <c r="F5" i="18"/>
  <c r="F4" i="18"/>
  <c r="I14" i="17"/>
  <c r="I13" i="17"/>
  <c r="I12" i="17"/>
  <c r="I11" i="17"/>
  <c r="I10" i="17"/>
  <c r="I9" i="17"/>
  <c r="I8" i="17"/>
  <c r="I7" i="17"/>
  <c r="I6" i="17"/>
  <c r="I5" i="17"/>
  <c r="I4" i="17"/>
  <c r="E5" i="17"/>
  <c r="E6" i="17"/>
  <c r="E7" i="17"/>
  <c r="E8" i="17"/>
  <c r="E9" i="17"/>
  <c r="E10" i="17"/>
  <c r="E11" i="17"/>
  <c r="E12" i="17"/>
  <c r="E13" i="17"/>
  <c r="E14" i="17"/>
  <c r="E4" i="17"/>
  <c r="G7" i="18" l="1"/>
  <c r="G9" i="18"/>
  <c r="G5" i="18"/>
  <c r="G6" i="18"/>
  <c r="G11" i="18"/>
  <c r="G10" i="18"/>
  <c r="G8" i="18"/>
  <c r="G5" i="17"/>
  <c r="G6" i="17"/>
  <c r="G7" i="17"/>
  <c r="G8" i="17"/>
  <c r="G9" i="17"/>
  <c r="G10" i="17"/>
  <c r="G11" i="17"/>
  <c r="G12" i="17"/>
  <c r="G13" i="17"/>
  <c r="G14" i="17"/>
  <c r="C5" i="17"/>
  <c r="C6" i="17"/>
  <c r="C7" i="17"/>
  <c r="C8" i="17"/>
  <c r="C9" i="17"/>
  <c r="C10" i="17"/>
  <c r="C11" i="17"/>
  <c r="C12" i="17"/>
  <c r="C13" i="17"/>
  <c r="C14" i="17"/>
  <c r="E4" i="16"/>
  <c r="C5" i="16" l="1"/>
  <c r="I14" i="7" l="1"/>
  <c r="I15" i="7"/>
  <c r="I16" i="7"/>
  <c r="I17" i="7"/>
  <c r="I18" i="7"/>
  <c r="I19" i="7"/>
  <c r="I20" i="7"/>
  <c r="E20" i="7"/>
  <c r="E19" i="7"/>
  <c r="E18" i="7"/>
  <c r="E17" i="7"/>
  <c r="E16" i="7"/>
  <c r="E15" i="7"/>
  <c r="E14" i="7"/>
  <c r="C14" i="7"/>
  <c r="C15" i="7"/>
  <c r="C16" i="7"/>
  <c r="C17" i="7"/>
  <c r="C18" i="7"/>
  <c r="C19" i="7"/>
  <c r="C20" i="7"/>
  <c r="E5" i="15" l="1"/>
  <c r="C6" i="15"/>
  <c r="C7" i="15"/>
  <c r="C8" i="15"/>
  <c r="C9" i="15"/>
  <c r="C10" i="15"/>
  <c r="C11" i="15"/>
  <c r="C12" i="15"/>
  <c r="C5" i="15"/>
  <c r="E6" i="15"/>
  <c r="E7" i="15"/>
  <c r="E8" i="15"/>
  <c r="E9" i="15"/>
  <c r="E10" i="15"/>
  <c r="E11" i="15"/>
  <c r="E12" i="15"/>
  <c r="I12" i="15"/>
  <c r="F12" i="15"/>
  <c r="I11" i="15"/>
  <c r="F11" i="15"/>
  <c r="I10" i="15"/>
  <c r="F10" i="15"/>
  <c r="I9" i="15"/>
  <c r="F9" i="15"/>
  <c r="I8" i="15"/>
  <c r="F8" i="15"/>
  <c r="I7" i="15"/>
  <c r="F7" i="15"/>
  <c r="I6" i="15"/>
  <c r="F6" i="15"/>
  <c r="I5" i="15"/>
  <c r="F5" i="15"/>
  <c r="I4" i="15"/>
  <c r="F4" i="15"/>
  <c r="E18" i="13"/>
  <c r="E17" i="13"/>
  <c r="E16" i="13"/>
  <c r="E15" i="13"/>
  <c r="E14" i="13"/>
  <c r="E13" i="13"/>
  <c r="E12" i="13"/>
  <c r="E11" i="13"/>
  <c r="E10" i="13"/>
  <c r="E9" i="13"/>
  <c r="E8" i="13"/>
  <c r="E7" i="13"/>
  <c r="E6" i="13"/>
  <c r="E5" i="13"/>
  <c r="I18" i="13"/>
  <c r="F18" i="13"/>
  <c r="I17" i="13"/>
  <c r="B17" i="13"/>
  <c r="F17" i="13" s="1"/>
  <c r="I16" i="13"/>
  <c r="B16" i="13"/>
  <c r="F16" i="13" s="1"/>
  <c r="I15" i="13"/>
  <c r="B15" i="13"/>
  <c r="F15" i="13" s="1"/>
  <c r="I14" i="13"/>
  <c r="B14" i="13"/>
  <c r="F14" i="13" s="1"/>
  <c r="I13" i="13"/>
  <c r="B13" i="13"/>
  <c r="F13" i="13" s="1"/>
  <c r="I12" i="13"/>
  <c r="B12" i="13"/>
  <c r="F12" i="13" s="1"/>
  <c r="I11" i="13"/>
  <c r="B11" i="13"/>
  <c r="F11" i="13" s="1"/>
  <c r="I10" i="13"/>
  <c r="B10" i="13"/>
  <c r="F10" i="13" s="1"/>
  <c r="I9" i="13"/>
  <c r="B9" i="13"/>
  <c r="F9" i="13" s="1"/>
  <c r="I8" i="13"/>
  <c r="B8" i="13"/>
  <c r="F8" i="13" s="1"/>
  <c r="I7" i="13"/>
  <c r="B7" i="13"/>
  <c r="F7" i="13" s="1"/>
  <c r="I6" i="13"/>
  <c r="B6" i="13"/>
  <c r="F6" i="13" s="1"/>
  <c r="I5" i="13"/>
  <c r="B5" i="13"/>
  <c r="F5" i="13" s="1"/>
  <c r="I4" i="13"/>
  <c r="B4" i="13"/>
  <c r="F4" i="13" s="1"/>
  <c r="E5" i="12"/>
  <c r="E6" i="12"/>
  <c r="E7" i="12"/>
  <c r="E8" i="12"/>
  <c r="E9" i="12"/>
  <c r="E10" i="12"/>
  <c r="E11" i="12"/>
  <c r="E12" i="12"/>
  <c r="E13" i="12"/>
  <c r="E14" i="12"/>
  <c r="E15" i="12"/>
  <c r="E16" i="12"/>
  <c r="E17" i="12"/>
  <c r="E18" i="12"/>
  <c r="I18" i="12"/>
  <c r="B18" i="12"/>
  <c r="F18" i="12" s="1"/>
  <c r="G18" i="12" s="1"/>
  <c r="I17" i="12"/>
  <c r="B17" i="12"/>
  <c r="F17" i="12" s="1"/>
  <c r="I16" i="12"/>
  <c r="B16" i="12"/>
  <c r="F16" i="12" s="1"/>
  <c r="I15" i="12"/>
  <c r="B15" i="12"/>
  <c r="F15" i="12" s="1"/>
  <c r="I14" i="12"/>
  <c r="B14" i="12"/>
  <c r="F14" i="12" s="1"/>
  <c r="I13" i="12"/>
  <c r="B13" i="12"/>
  <c r="F13" i="12" s="1"/>
  <c r="I12" i="12"/>
  <c r="B12" i="12"/>
  <c r="F12" i="12" s="1"/>
  <c r="I11" i="12"/>
  <c r="B11" i="12"/>
  <c r="F11" i="12" s="1"/>
  <c r="I10" i="12"/>
  <c r="B10" i="12"/>
  <c r="F10" i="12" s="1"/>
  <c r="I9" i="12"/>
  <c r="B9" i="12"/>
  <c r="F9" i="12" s="1"/>
  <c r="I8" i="12"/>
  <c r="B8" i="12"/>
  <c r="F8" i="12" s="1"/>
  <c r="I7" i="12"/>
  <c r="B7" i="12"/>
  <c r="F7" i="12" s="1"/>
  <c r="I6" i="12"/>
  <c r="B6" i="12"/>
  <c r="F6" i="12" s="1"/>
  <c r="I5" i="12"/>
  <c r="B5" i="12"/>
  <c r="F5" i="12" s="1"/>
  <c r="G5" i="12" s="1"/>
  <c r="I4" i="12"/>
  <c r="B4" i="12"/>
  <c r="F4" i="12" s="1"/>
  <c r="G9" i="12" l="1"/>
  <c r="G17" i="12"/>
  <c r="G6" i="12"/>
  <c r="G10" i="12"/>
  <c r="G14" i="12"/>
  <c r="C10" i="12"/>
  <c r="G16" i="12"/>
  <c r="G13" i="12"/>
  <c r="G7" i="15"/>
  <c r="G10" i="15"/>
  <c r="G7" i="12"/>
  <c r="G11" i="12"/>
  <c r="G15" i="12"/>
  <c r="C18" i="12"/>
  <c r="C16" i="12"/>
  <c r="G8" i="12"/>
  <c r="G12" i="12"/>
  <c r="C12" i="12"/>
  <c r="C8" i="12"/>
  <c r="G5" i="13"/>
  <c r="G13" i="13"/>
  <c r="G9" i="13"/>
  <c r="G17" i="13"/>
  <c r="G8" i="13"/>
  <c r="G16" i="13"/>
  <c r="C6" i="13"/>
  <c r="G5" i="15"/>
  <c r="G6" i="15"/>
  <c r="G8" i="15"/>
  <c r="G9" i="15"/>
  <c r="G11" i="15"/>
  <c r="G12" i="15"/>
  <c r="C17" i="12"/>
  <c r="C9" i="12"/>
  <c r="C15" i="12"/>
  <c r="C7" i="12"/>
  <c r="C14" i="12"/>
  <c r="C6" i="12"/>
  <c r="C13" i="12"/>
  <c r="C5" i="12"/>
  <c r="C11" i="12"/>
  <c r="G11" i="13"/>
  <c r="C18" i="13"/>
  <c r="C14" i="13"/>
  <c r="C5" i="13"/>
  <c r="G6" i="13"/>
  <c r="G12" i="13"/>
  <c r="C13" i="13"/>
  <c r="G10" i="13"/>
  <c r="C10" i="13"/>
  <c r="G14" i="13"/>
  <c r="G18" i="13"/>
  <c r="C11" i="13"/>
  <c r="C17" i="13"/>
  <c r="C9" i="13"/>
  <c r="C16" i="13"/>
  <c r="C8" i="13"/>
  <c r="G7" i="13"/>
  <c r="G15" i="13"/>
  <c r="C15" i="13"/>
  <c r="C7" i="13"/>
  <c r="C12" i="13"/>
  <c r="I6" i="10"/>
  <c r="I7" i="10"/>
  <c r="I8" i="10"/>
  <c r="I9" i="10"/>
  <c r="I10" i="10"/>
  <c r="I11" i="10"/>
  <c r="I12" i="10"/>
  <c r="I13" i="10"/>
  <c r="I14" i="10"/>
  <c r="I15" i="10"/>
  <c r="I16" i="10"/>
  <c r="I17" i="10"/>
  <c r="I18" i="10"/>
  <c r="I5" i="10"/>
  <c r="E6" i="10"/>
  <c r="E7" i="10"/>
  <c r="E8" i="10"/>
  <c r="E9" i="10"/>
  <c r="E10" i="10"/>
  <c r="E11" i="10"/>
  <c r="E12" i="10"/>
  <c r="E13" i="10"/>
  <c r="E14" i="10"/>
  <c r="E15" i="10"/>
  <c r="E16" i="10"/>
  <c r="E17" i="10"/>
  <c r="E18" i="10"/>
  <c r="E5" i="10"/>
  <c r="C5" i="10"/>
  <c r="C6" i="10"/>
  <c r="C7" i="10"/>
  <c r="C8" i="10"/>
  <c r="C9" i="10"/>
  <c r="C10" i="10"/>
  <c r="C11" i="10"/>
  <c r="C12" i="10"/>
  <c r="C13" i="10"/>
  <c r="C14" i="10"/>
  <c r="C15" i="10"/>
  <c r="C16" i="10"/>
  <c r="C17" i="10"/>
  <c r="C18" i="10"/>
  <c r="F18" i="10"/>
  <c r="F17" i="10"/>
  <c r="F16" i="10"/>
  <c r="F15" i="10"/>
  <c r="F14" i="10"/>
  <c r="F13" i="10"/>
  <c r="F12" i="10"/>
  <c r="F11" i="10"/>
  <c r="F10" i="10"/>
  <c r="F9" i="10"/>
  <c r="F8" i="10"/>
  <c r="F7" i="10"/>
  <c r="F6" i="10"/>
  <c r="F5" i="10"/>
  <c r="F4" i="10"/>
  <c r="G7" i="10" l="1"/>
  <c r="G12" i="10"/>
  <c r="G15" i="10"/>
  <c r="G8" i="10"/>
  <c r="G10" i="10"/>
  <c r="G16" i="10"/>
  <c r="G18" i="10"/>
  <c r="G11" i="10"/>
  <c r="G5" i="10"/>
  <c r="G13" i="10"/>
  <c r="G9" i="10"/>
  <c r="G17" i="10"/>
  <c r="G14" i="10"/>
  <c r="G6" i="10"/>
  <c r="F14" i="7" l="1"/>
  <c r="G14" i="7" s="1"/>
  <c r="F15" i="7"/>
  <c r="F16" i="7"/>
  <c r="G16" i="7" s="1"/>
  <c r="F17" i="7"/>
  <c r="F18" i="7"/>
  <c r="F19" i="7"/>
  <c r="F20" i="7"/>
  <c r="G18" i="7" l="1"/>
  <c r="G17" i="7"/>
  <c r="G19" i="7"/>
  <c r="G20" i="7"/>
  <c r="G15" i="7"/>
</calcChain>
</file>

<file path=xl/sharedStrings.xml><?xml version="1.0" encoding="utf-8"?>
<sst xmlns="http://schemas.openxmlformats.org/spreadsheetml/2006/main" count="164" uniqueCount="71">
  <si>
    <t>Production</t>
  </si>
  <si>
    <t>Exports</t>
  </si>
  <si>
    <t>Imports</t>
  </si>
  <si>
    <t>Tonnes</t>
  </si>
  <si>
    <t>Year</t>
  </si>
  <si>
    <t>Farmgate price</t>
  </si>
  <si>
    <t xml:space="preserve">Household consumption </t>
  </si>
  <si>
    <t xml:space="preserve"> </t>
  </si>
  <si>
    <t>Value of production</t>
  </si>
  <si>
    <t>Vatu per Tonne</t>
  </si>
  <si>
    <t>US$ per Tonne</t>
  </si>
  <si>
    <t xml:space="preserve">Kava imports as a % of total imports </t>
  </si>
  <si>
    <t>TOP per Tonne</t>
  </si>
  <si>
    <t>F$ per Kg</t>
  </si>
  <si>
    <t>F$</t>
  </si>
  <si>
    <t>F$ per Tonne</t>
  </si>
  <si>
    <t>Total imports of all commodities (F$)</t>
  </si>
  <si>
    <t>Variation: year on year (%)</t>
  </si>
  <si>
    <t>Variation in quantity: year on year (%)</t>
  </si>
  <si>
    <t>Years</t>
  </si>
  <si>
    <t>AU$ per tonne</t>
  </si>
  <si>
    <t>Variation in value: year on year (%)</t>
  </si>
  <si>
    <t>Variation in price per tonne: year on year (%)</t>
  </si>
  <si>
    <t>Variation in the price per ton: year on year (%)</t>
  </si>
  <si>
    <t>Total  Exports of all commodities (F$)</t>
  </si>
  <si>
    <t xml:space="preserve">Kava exports as a % of total  exports </t>
  </si>
  <si>
    <t>Variation in value : year on year (%)</t>
  </si>
  <si>
    <t>Total exports of all commodities (SI$)</t>
  </si>
  <si>
    <t>Total exports of all commodities (SAT)</t>
  </si>
  <si>
    <t xml:space="preserve">Kava exports as a % of total exports </t>
  </si>
  <si>
    <t>Total imports of all commodities (SAT)</t>
  </si>
  <si>
    <t>Variation in price per ton: year on year (%)</t>
  </si>
  <si>
    <t>Total imports of all commodities (AU$)</t>
  </si>
  <si>
    <t>Total imports of all commodities (US$)</t>
  </si>
  <si>
    <t>Total exports of all commodities (TOP)</t>
  </si>
  <si>
    <t>Total exports of all commodities (US$)</t>
  </si>
  <si>
    <t>Total exports of all commodities (Vatu)</t>
  </si>
  <si>
    <t xml:space="preserve">Exports </t>
  </si>
  <si>
    <t>Contribution of kava to Real GDP (%)</t>
  </si>
  <si>
    <t>Contribution of kava to Nominal GDP (%)</t>
  </si>
  <si>
    <t>Table 10:  Samoa_Kava exports and imports, 2010 - -2020</t>
  </si>
  <si>
    <t>Table 12:  American Samoa_Kava imports, 2010 - 2019</t>
  </si>
  <si>
    <t>Table 1:  Fiji_Kava production and consumption, 2005 - 2019</t>
  </si>
  <si>
    <t>Table 2:  Fiji_Kava imports, 2005 - 2019</t>
  </si>
  <si>
    <t>Table 3: Fiji_ Kava exports, 2005 - 2019</t>
  </si>
  <si>
    <t>Table 4:  Fiji_Contribution of kava to GDP, 2005 - 2019</t>
  </si>
  <si>
    <t>Base year</t>
  </si>
  <si>
    <t>Table 5:  Tonga_ Kava exports, 2012 - 2020</t>
  </si>
  <si>
    <t>Source:  Fiji Bureau of Statistics</t>
  </si>
  <si>
    <t>Source:  Statistics Department</t>
  </si>
  <si>
    <t>Table 6:  Federated States of Micronesia_Kava exports, 2011 - 2018</t>
  </si>
  <si>
    <t>Source:  National Statistics Office</t>
  </si>
  <si>
    <t>Table 8:  Solomon Islands_Kava exports, 2005 - 2019</t>
  </si>
  <si>
    <t xml:space="preserve">Source:  Samoa Bureau of Statistics  </t>
  </si>
  <si>
    <t>Table 10:  Kiribati_Kava imports, 2012 - 2020</t>
  </si>
  <si>
    <t>Source:  Department of Commerce</t>
  </si>
  <si>
    <t>Value (F$)</t>
  </si>
  <si>
    <t>Value  (F$)</t>
  </si>
  <si>
    <t>Value  (TOP)</t>
  </si>
  <si>
    <t>Value  (US$)</t>
  </si>
  <si>
    <t>Value (Vatu)</t>
  </si>
  <si>
    <t>Value  (SI$)</t>
  </si>
  <si>
    <t>Value  (SAT)</t>
  </si>
  <si>
    <t>Value  (AU$)</t>
  </si>
  <si>
    <t xml:space="preserve"> Value  (US$)</t>
  </si>
  <si>
    <t>Table 7:  Vanuatu_Kava exports, 2012 - 2020</t>
  </si>
  <si>
    <t>na</t>
  </si>
  <si>
    <t>not available</t>
  </si>
  <si>
    <t>Not available</t>
  </si>
  <si>
    <t>Note:  Some or all of the following data in Tonnes from 2012 to 2020 on kava approved by the Quarantine Department to be taken abroad by passengers might not have been accounted for in official statistics sourced from the Statistics Department given above.  Source for the data from Quarantine is the Land Resources Division of Pacific Community.</t>
  </si>
  <si>
    <t>Source:  Statistics Division up to 2018.  Quarantine Department from 2019 to 2021 for the quantity exported.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</si>
</sst>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0"/>
  </numFmts>
  <fonts count="23" x14ac:knownFonts="1">
    <font>
      <sz val="11"/>
      <color theme="1"/>
      <name val="Calibri"/>
      <family val="2"/>
      <scheme val="minor"/>
    </font>
    <font>
      <sz val="11"/>
      <color theme="1"/>
      <name val="Calibri"/>
      <family val="2"/>
      <scheme val="minor"/>
    </font>
    <font>
      <sz val="10"/>
      <name val="Calibri"/>
      <family val="2"/>
      <scheme val="minor"/>
    </font>
    <font>
      <sz val="11"/>
      <name val="Calibri"/>
      <family val="2"/>
      <scheme val="minor"/>
    </font>
    <font>
      <b/>
      <sz val="20"/>
      <name val="Calibri"/>
      <family val="2"/>
      <scheme val="minor"/>
    </font>
    <font>
      <sz val="11"/>
      <name val="Times New Roman"/>
      <family val="1"/>
    </font>
    <font>
      <b/>
      <sz val="11"/>
      <color theme="1"/>
      <name val="Calibri"/>
      <family val="2"/>
      <scheme val="minor"/>
    </font>
    <font>
      <b/>
      <sz val="11"/>
      <name val="Calibri"/>
      <family val="2"/>
      <scheme val="minor"/>
    </font>
    <font>
      <b/>
      <sz val="10"/>
      <color theme="1"/>
      <name val="Calibri"/>
      <family val="2"/>
      <scheme val="minor"/>
    </font>
    <font>
      <b/>
      <sz val="10"/>
      <name val="Calibri"/>
      <family val="2"/>
      <scheme val="minor"/>
    </font>
    <font>
      <sz val="11"/>
      <color theme="7" tint="-0.499984740745262"/>
      <name val="Calibri"/>
      <family val="2"/>
      <scheme val="minor"/>
    </font>
    <font>
      <sz val="10"/>
      <color theme="1"/>
      <name val="Times New Roman"/>
      <family val="1"/>
    </font>
    <font>
      <sz val="10"/>
      <name val="Times New Roman"/>
      <family val="1"/>
    </font>
    <font>
      <sz val="10"/>
      <color theme="1"/>
      <name val="Calibri"/>
      <family val="2"/>
      <scheme val="minor"/>
    </font>
    <font>
      <sz val="10"/>
      <name val="Courier"/>
      <family val="3"/>
    </font>
    <font>
      <b/>
      <sz val="14"/>
      <color theme="1"/>
      <name val="Calibri"/>
      <family val="2"/>
      <scheme val="minor"/>
    </font>
    <font>
      <sz val="14"/>
      <color theme="1"/>
      <name val="Calibri"/>
      <family val="2"/>
      <scheme val="minor"/>
    </font>
    <font>
      <b/>
      <sz val="14"/>
      <name val="Calibri"/>
      <family val="2"/>
      <scheme val="minor"/>
    </font>
    <font>
      <sz val="14"/>
      <name val="Calibri"/>
      <family val="2"/>
      <scheme val="minor"/>
    </font>
    <font>
      <sz val="10"/>
      <name val="Calibri"/>
      <family val="2"/>
    </font>
    <font>
      <b/>
      <sz val="10"/>
      <name val="Calibri"/>
      <family val="2"/>
    </font>
    <font>
      <b/>
      <sz val="11"/>
      <color rgb="FF000000"/>
      <name val="Calibri"/>
      <family val="2"/>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7">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7" fontId="14" fillId="0" borderId="0"/>
    <xf numFmtId="0" fontId="22" fillId="0" borderId="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cellStyleXfs>
  <cellXfs count="130">
    <xf numFmtId="0" fontId="0" fillId="0" borderId="0" xfId="0"/>
    <xf numFmtId="3" fontId="3" fillId="2" borderId="1" xfId="1" applyNumberFormat="1" applyFont="1" applyFill="1" applyBorder="1"/>
    <xf numFmtId="3" fontId="2" fillId="2" borderId="1" xfId="8" applyNumberFormat="1" applyFont="1" applyFill="1" applyBorder="1"/>
    <xf numFmtId="3" fontId="3" fillId="2" borderId="1" xfId="0" applyNumberFormat="1" applyFont="1" applyFill="1" applyBorder="1" applyAlignment="1">
      <alignment horizontal="right"/>
    </xf>
    <xf numFmtId="0" fontId="7" fillId="2" borderId="1" xfId="0" applyFont="1" applyFill="1" applyBorder="1" applyAlignment="1">
      <alignment horizontal="center"/>
    </xf>
    <xf numFmtId="0" fontId="7" fillId="2" borderId="2" xfId="0" applyFont="1" applyFill="1" applyBorder="1" applyAlignment="1">
      <alignment horizontal="center"/>
    </xf>
    <xf numFmtId="0" fontId="7" fillId="2" borderId="1" xfId="0" applyFont="1" applyFill="1" applyBorder="1" applyAlignment="1">
      <alignment horizontal="center" wrapText="1"/>
    </xf>
    <xf numFmtId="0" fontId="7" fillId="2" borderId="2" xfId="0" applyFont="1" applyFill="1" applyBorder="1" applyAlignment="1">
      <alignment horizontal="center" wrapText="1"/>
    </xf>
    <xf numFmtId="0" fontId="10" fillId="2" borderId="1" xfId="0" applyFont="1" applyFill="1" applyBorder="1"/>
    <xf numFmtId="0" fontId="0" fillId="0" borderId="1" xfId="0" applyBorder="1"/>
    <xf numFmtId="0" fontId="4" fillId="2" borderId="1" xfId="0" applyFont="1" applyFill="1" applyBorder="1"/>
    <xf numFmtId="0" fontId="3" fillId="2" borderId="1" xfId="0" applyFont="1" applyFill="1" applyBorder="1" applyAlignment="1">
      <alignment horizontal="center"/>
    </xf>
    <xf numFmtId="3" fontId="2" fillId="2" borderId="1" xfId="0" applyNumberFormat="1" applyFont="1" applyFill="1" applyBorder="1" applyAlignment="1">
      <alignment horizontal="right"/>
    </xf>
    <xf numFmtId="0" fontId="2" fillId="2" borderId="1" xfId="0" applyFont="1" applyFill="1" applyBorder="1" applyAlignment="1">
      <alignment horizontal="center" wrapText="1"/>
    </xf>
    <xf numFmtId="3" fontId="11" fillId="0" borderId="1" xfId="0" applyNumberFormat="1" applyFont="1" applyBorder="1"/>
    <xf numFmtId="3" fontId="12" fillId="2" borderId="1" xfId="0" applyNumberFormat="1" applyFont="1" applyFill="1" applyBorder="1" applyAlignment="1">
      <alignment horizontal="right"/>
    </xf>
    <xf numFmtId="4" fontId="2" fillId="2" borderId="1" xfId="0" applyNumberFormat="1" applyFont="1" applyFill="1" applyBorder="1"/>
    <xf numFmtId="0" fontId="6" fillId="0" borderId="1" xfId="0" applyFont="1" applyBorder="1"/>
    <xf numFmtId="0" fontId="3" fillId="2" borderId="1" xfId="0" applyFont="1" applyFill="1" applyBorder="1"/>
    <xf numFmtId="3" fontId="3" fillId="2" borderId="1" xfId="0" applyNumberFormat="1" applyFont="1" applyFill="1" applyBorder="1"/>
    <xf numFmtId="0" fontId="7" fillId="2" borderId="1" xfId="0" applyFont="1" applyFill="1" applyBorder="1"/>
    <xf numFmtId="0" fontId="9" fillId="2" borderId="1" xfId="0" applyFont="1" applyFill="1" applyBorder="1" applyAlignment="1">
      <alignment horizontal="center" wrapText="1"/>
    </xf>
    <xf numFmtId="0" fontId="2" fillId="2" borderId="1" xfId="0" applyFont="1" applyFill="1" applyBorder="1"/>
    <xf numFmtId="3" fontId="2" fillId="2" borderId="1" xfId="0" applyNumberFormat="1" applyFont="1" applyFill="1" applyBorder="1"/>
    <xf numFmtId="0" fontId="9" fillId="2" borderId="1" xfId="0" applyFont="1" applyFill="1" applyBorder="1" applyAlignment="1">
      <alignment horizontal="center" wrapText="1"/>
    </xf>
    <xf numFmtId="0" fontId="8" fillId="2" borderId="1" xfId="0" applyFont="1" applyFill="1" applyBorder="1"/>
    <xf numFmtId="0" fontId="9" fillId="2" borderId="1" xfId="0" applyFont="1" applyFill="1" applyBorder="1" applyAlignment="1">
      <alignment horizontal="center"/>
    </xf>
    <xf numFmtId="3" fontId="11" fillId="2" borderId="1" xfId="0" applyNumberFormat="1" applyFont="1" applyFill="1" applyBorder="1"/>
    <xf numFmtId="0" fontId="0" fillId="2" borderId="1" xfId="0" applyFill="1" applyBorder="1"/>
    <xf numFmtId="0" fontId="3" fillId="0" borderId="1" xfId="0" applyFont="1" applyBorder="1"/>
    <xf numFmtId="0" fontId="13" fillId="0" borderId="1" xfId="0" applyFont="1" applyBorder="1"/>
    <xf numFmtId="3" fontId="3" fillId="2" borderId="1" xfId="0" applyNumberFormat="1" applyFont="1" applyFill="1" applyBorder="1" applyAlignment="1">
      <alignment horizontal="right" wrapText="1"/>
    </xf>
    <xf numFmtId="3" fontId="5" fillId="2" borderId="1" xfId="0" applyNumberFormat="1" applyFont="1" applyFill="1" applyBorder="1"/>
    <xf numFmtId="0" fontId="0" fillId="0" borderId="1" xfId="0" applyBorder="1" applyAlignment="1"/>
    <xf numFmtId="0" fontId="7" fillId="2" borderId="1" xfId="0" applyFont="1" applyFill="1" applyBorder="1" applyAlignment="1">
      <alignment horizontal="center"/>
    </xf>
    <xf numFmtId="3" fontId="2" fillId="2" borderId="1" xfId="17" applyNumberFormat="1" applyFont="1" applyFill="1" applyBorder="1" applyAlignment="1">
      <alignment horizontal="right"/>
    </xf>
    <xf numFmtId="0" fontId="6" fillId="0" borderId="1" xfId="0" applyFont="1" applyBorder="1" applyAlignment="1">
      <alignment wrapText="1"/>
    </xf>
    <xf numFmtId="0" fontId="18" fillId="0" borderId="4" xfId="0" applyFont="1" applyBorder="1" applyAlignment="1"/>
    <xf numFmtId="0" fontId="16" fillId="2" borderId="2" xfId="0" applyFont="1" applyFill="1" applyBorder="1" applyAlignment="1"/>
    <xf numFmtId="0" fontId="15" fillId="2" borderId="1" xfId="0" applyFont="1" applyFill="1" applyBorder="1"/>
    <xf numFmtId="3" fontId="2" fillId="2" borderId="1" xfId="1" applyNumberFormat="1" applyFont="1" applyFill="1" applyBorder="1"/>
    <xf numFmtId="37" fontId="8" fillId="2" borderId="1" xfId="1" applyNumberFormat="1" applyFont="1" applyFill="1" applyBorder="1"/>
    <xf numFmtId="37" fontId="9" fillId="2" borderId="1" xfId="1" applyNumberFormat="1" applyFont="1" applyFill="1" applyBorder="1"/>
    <xf numFmtId="4" fontId="3" fillId="2" borderId="1" xfId="0" applyNumberFormat="1" applyFont="1" applyFill="1" applyBorder="1"/>
    <xf numFmtId="0" fontId="2" fillId="3" borderId="1" xfId="0" applyFont="1" applyFill="1" applyBorder="1"/>
    <xf numFmtId="164" fontId="2" fillId="2" borderId="1" xfId="0" applyNumberFormat="1" applyFont="1" applyFill="1" applyBorder="1"/>
    <xf numFmtId="0" fontId="0" fillId="2" borderId="1" xfId="0" applyFont="1" applyFill="1" applyBorder="1"/>
    <xf numFmtId="165" fontId="0" fillId="2" borderId="1" xfId="0" applyNumberFormat="1" applyFont="1" applyFill="1" applyBorder="1"/>
    <xf numFmtId="0" fontId="17" fillId="2" borderId="1" xfId="0" applyFont="1" applyFill="1" applyBorder="1"/>
    <xf numFmtId="0" fontId="16" fillId="2" borderId="1" xfId="0" applyFont="1" applyFill="1" applyBorder="1"/>
    <xf numFmtId="0" fontId="16" fillId="2" borderId="3" xfId="0" applyFont="1" applyFill="1" applyBorder="1" applyAlignment="1"/>
    <xf numFmtId="0" fontId="16" fillId="2" borderId="4" xfId="0" applyFont="1" applyFill="1" applyBorder="1" applyAlignment="1"/>
    <xf numFmtId="0" fontId="21" fillId="0" borderId="0" xfId="0" applyFont="1" applyAlignment="1">
      <alignment horizontal="justify" vertical="center"/>
    </xf>
    <xf numFmtId="0" fontId="16" fillId="0" borderId="1" xfId="0" applyFont="1" applyBorder="1"/>
    <xf numFmtId="0" fontId="17" fillId="2" borderId="1" xfId="0" applyFont="1" applyFill="1" applyBorder="1" applyAlignment="1">
      <alignment horizontal="center" wrapText="1"/>
    </xf>
    <xf numFmtId="0" fontId="9" fillId="2" borderId="1" xfId="0" applyFont="1" applyFill="1" applyBorder="1" applyAlignment="1">
      <alignment horizontal="center" wrapText="1"/>
    </xf>
    <xf numFmtId="0" fontId="7" fillId="2" borderId="2" xfId="0" applyFont="1" applyFill="1" applyBorder="1" applyAlignment="1">
      <alignment horizont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xf>
    <xf numFmtId="0" fontId="17" fillId="2" borderId="1" xfId="0" applyFont="1" applyFill="1" applyBorder="1" applyAlignment="1"/>
    <xf numFmtId="0" fontId="20" fillId="2" borderId="1" xfId="0" applyFont="1" applyFill="1" applyBorder="1" applyAlignment="1">
      <alignment vertical="center" wrapText="1"/>
    </xf>
    <xf numFmtId="164" fontId="19" fillId="3" borderId="1" xfId="0" applyNumberFormat="1" applyFont="1" applyFill="1" applyBorder="1" applyAlignment="1">
      <alignment horizontal="right" vertical="center"/>
    </xf>
    <xf numFmtId="164" fontId="19" fillId="2" borderId="1" xfId="0" applyNumberFormat="1" applyFont="1" applyFill="1" applyBorder="1" applyAlignment="1">
      <alignment horizontal="right" vertical="center"/>
    </xf>
    <xf numFmtId="0" fontId="19" fillId="2" borderId="1" xfId="0" applyFont="1" applyFill="1" applyBorder="1" applyAlignment="1">
      <alignment horizontal="right" vertical="center"/>
    </xf>
    <xf numFmtId="0" fontId="6" fillId="2" borderId="1" xfId="0" applyFont="1" applyFill="1" applyBorder="1" applyAlignment="1">
      <alignment horizontal="center"/>
    </xf>
    <xf numFmtId="0" fontId="7" fillId="2" borderId="1" xfId="0" applyFont="1" applyFill="1" applyBorder="1" applyAlignment="1">
      <alignment horizontal="center"/>
    </xf>
    <xf numFmtId="0" fontId="3" fillId="2" borderId="2" xfId="0" applyFont="1" applyFill="1" applyBorder="1"/>
    <xf numFmtId="3" fontId="2" fillId="2" borderId="3" xfId="1" applyNumberFormat="1" applyFont="1" applyFill="1" applyBorder="1"/>
    <xf numFmtId="3" fontId="2" fillId="2" borderId="3" xfId="0" applyNumberFormat="1" applyFont="1" applyFill="1" applyBorder="1" applyAlignment="1">
      <alignment horizontal="right"/>
    </xf>
    <xf numFmtId="3" fontId="2" fillId="2" borderId="3" xfId="0" applyNumberFormat="1" applyFont="1" applyFill="1" applyBorder="1"/>
    <xf numFmtId="3" fontId="2" fillId="2" borderId="4" xfId="0" applyNumberFormat="1" applyFont="1" applyFill="1" applyBorder="1"/>
    <xf numFmtId="3" fontId="13" fillId="2" borderId="1" xfId="0" applyNumberFormat="1" applyFont="1" applyFill="1" applyBorder="1"/>
    <xf numFmtId="3" fontId="13" fillId="2" borderId="1" xfId="0" applyNumberFormat="1" applyFont="1" applyFill="1" applyBorder="1" applyAlignment="1">
      <alignment horizontal="right"/>
    </xf>
    <xf numFmtId="3" fontId="2" fillId="2" borderId="1" xfId="35" applyNumberFormat="1" applyFont="1" applyFill="1" applyBorder="1" applyAlignment="1">
      <alignment horizontal="right"/>
    </xf>
    <xf numFmtId="3" fontId="11" fillId="2" borderId="1" xfId="0" applyNumberFormat="1" applyFont="1" applyFill="1" applyBorder="1" applyAlignment="1">
      <alignment horizontal="right"/>
    </xf>
    <xf numFmtId="0" fontId="0" fillId="2" borderId="1" xfId="0" applyFill="1" applyBorder="1" applyAlignment="1"/>
    <xf numFmtId="3" fontId="2" fillId="2" borderId="1" xfId="35" applyNumberFormat="1" applyFont="1" applyFill="1" applyBorder="1"/>
    <xf numFmtId="3" fontId="2" fillId="2" borderId="1" xfId="0" applyNumberFormat="1" applyFont="1" applyFill="1" applyBorder="1" applyAlignment="1">
      <alignment horizontal="right"/>
    </xf>
    <xf numFmtId="0" fontId="2" fillId="2" borderId="1" xfId="0" applyFont="1" applyFill="1" applyBorder="1"/>
    <xf numFmtId="3" fontId="2" fillId="2" borderId="1" xfId="0" applyNumberFormat="1" applyFont="1" applyFill="1" applyBorder="1"/>
    <xf numFmtId="0" fontId="0" fillId="2" borderId="1" xfId="0" applyFill="1" applyBorder="1"/>
    <xf numFmtId="0" fontId="3" fillId="2" borderId="1" xfId="0" applyFont="1" applyFill="1" applyBorder="1" applyAlignment="1">
      <alignment horizontal="right"/>
    </xf>
    <xf numFmtId="3" fontId="12" fillId="2" borderId="1" xfId="0" applyNumberFormat="1" applyFont="1" applyFill="1" applyBorder="1" applyAlignment="1">
      <alignment horizontal="right"/>
    </xf>
    <xf numFmtId="4" fontId="2" fillId="2" borderId="1" xfId="0" applyNumberFormat="1" applyFont="1" applyFill="1" applyBorder="1"/>
    <xf numFmtId="0" fontId="2" fillId="2" borderId="1" xfId="0" applyFont="1" applyFill="1" applyBorder="1"/>
    <xf numFmtId="3" fontId="2" fillId="2" borderId="1" xfId="0" applyNumberFormat="1" applyFont="1" applyFill="1" applyBorder="1"/>
    <xf numFmtId="0" fontId="0" fillId="2" borderId="1" xfId="0" applyFill="1" applyBorder="1"/>
    <xf numFmtId="0" fontId="0" fillId="2" borderId="1" xfId="0" applyFont="1" applyFill="1" applyBorder="1" applyAlignment="1">
      <alignment horizontal="right"/>
    </xf>
    <xf numFmtId="3" fontId="3" fillId="2" borderId="1" xfId="0" applyNumberFormat="1" applyFont="1" applyFill="1" applyBorder="1" applyAlignment="1">
      <alignment horizontal="right"/>
    </xf>
    <xf numFmtId="4" fontId="2" fillId="2" borderId="1" xfId="0" applyNumberFormat="1" applyFont="1" applyFill="1" applyBorder="1"/>
    <xf numFmtId="0" fontId="3" fillId="2" borderId="1" xfId="0" applyFont="1" applyFill="1" applyBorder="1"/>
    <xf numFmtId="3" fontId="3" fillId="2" borderId="1" xfId="0" applyNumberFormat="1" applyFont="1" applyFill="1" applyBorder="1"/>
    <xf numFmtId="0" fontId="2" fillId="2" borderId="1" xfId="0" applyFont="1" applyFill="1" applyBorder="1"/>
    <xf numFmtId="3" fontId="2" fillId="2" borderId="1" xfId="0" applyNumberFormat="1" applyFont="1" applyFill="1" applyBorder="1"/>
    <xf numFmtId="0" fontId="0" fillId="2" borderId="1" xfId="0" applyFill="1" applyBorder="1"/>
    <xf numFmtId="164" fontId="2" fillId="2" borderId="1" xfId="0" applyNumberFormat="1" applyFont="1" applyFill="1" applyBorder="1"/>
    <xf numFmtId="0" fontId="0" fillId="2" borderId="1" xfId="0" applyFont="1" applyFill="1" applyBorder="1"/>
    <xf numFmtId="165" fontId="0" fillId="2" borderId="1" xfId="0" applyNumberFormat="1" applyFont="1" applyFill="1" applyBorder="1"/>
    <xf numFmtId="164" fontId="19" fillId="2" borderId="1" xfId="0" applyNumberFormat="1" applyFont="1" applyFill="1" applyBorder="1" applyAlignment="1">
      <alignment horizontal="right" vertical="center"/>
    </xf>
    <xf numFmtId="0" fontId="2" fillId="2" borderId="1" xfId="0" applyFont="1" applyFill="1" applyBorder="1" applyAlignment="1">
      <alignment horizontal="right"/>
    </xf>
    <xf numFmtId="0" fontId="9" fillId="2" borderId="1" xfId="0" applyFont="1" applyFill="1" applyBorder="1" applyAlignment="1">
      <alignment horizontal="center" wrapText="1"/>
    </xf>
    <xf numFmtId="0" fontId="7" fillId="2" borderId="1" xfId="0" applyFont="1" applyFill="1" applyBorder="1" applyAlignment="1">
      <alignment horizontal="center"/>
    </xf>
    <xf numFmtId="0" fontId="6" fillId="2" borderId="1" xfId="0" applyFont="1" applyFill="1" applyBorder="1" applyAlignment="1">
      <alignment horizontal="center" vertical="center" wrapText="1"/>
    </xf>
    <xf numFmtId="0" fontId="17" fillId="0" borderId="2" xfId="0" applyFont="1" applyBorder="1" applyAlignment="1"/>
    <xf numFmtId="0" fontId="18" fillId="0" borderId="3" xfId="0" applyFont="1" applyBorder="1" applyAlignment="1"/>
    <xf numFmtId="0" fontId="18" fillId="0" borderId="4" xfId="0" applyFont="1" applyBorder="1" applyAlignment="1"/>
    <xf numFmtId="0" fontId="8" fillId="2" borderId="1" xfId="0" applyFont="1" applyFill="1" applyBorder="1" applyAlignment="1">
      <alignment horizontal="center" vertical="center" wrapText="1"/>
    </xf>
    <xf numFmtId="0" fontId="9" fillId="2" borderId="1" xfId="0" applyFont="1" applyFill="1" applyBorder="1" applyAlignment="1">
      <alignment horizontal="center" wrapText="1"/>
    </xf>
    <xf numFmtId="0" fontId="17" fillId="2" borderId="1" xfId="0" applyFont="1" applyFill="1" applyBorder="1" applyAlignment="1">
      <alignment horizontal="left"/>
    </xf>
    <xf numFmtId="0" fontId="8" fillId="2" borderId="1" xfId="0" applyFont="1" applyFill="1" applyBorder="1" applyAlignment="1">
      <alignment horizontal="center"/>
    </xf>
    <xf numFmtId="0" fontId="8" fillId="0" borderId="1" xfId="0" applyFont="1" applyBorder="1" applyAlignment="1">
      <alignment horizontal="center"/>
    </xf>
    <xf numFmtId="0" fontId="9" fillId="2" borderId="1" xfId="0" applyFont="1" applyFill="1" applyBorder="1" applyAlignment="1">
      <alignment horizontal="center" vertical="center" wrapText="1"/>
    </xf>
    <xf numFmtId="0" fontId="17" fillId="2" borderId="1" xfId="0" applyFont="1" applyFill="1" applyBorder="1" applyAlignment="1">
      <alignment wrapText="1"/>
    </xf>
    <xf numFmtId="0" fontId="0" fillId="0" borderId="1" xfId="0" applyBorder="1" applyAlignment="1">
      <alignment wrapText="1"/>
    </xf>
    <xf numFmtId="0" fontId="9" fillId="2" borderId="1" xfId="0" applyFont="1" applyFill="1" applyBorder="1" applyAlignment="1">
      <alignment horizontal="center"/>
    </xf>
    <xf numFmtId="0" fontId="13" fillId="2" borderId="1" xfId="0" applyFont="1" applyFill="1" applyBorder="1" applyAlignment="1">
      <alignment horizontal="center"/>
    </xf>
    <xf numFmtId="0" fontId="3" fillId="2" borderId="2" xfId="0" applyFont="1" applyFill="1" applyBorder="1" applyAlignment="1">
      <alignment horizontal="left" wrapText="1"/>
    </xf>
    <xf numFmtId="0" fontId="3" fillId="2" borderId="3" xfId="0" applyFont="1" applyFill="1" applyBorder="1" applyAlignment="1">
      <alignment horizontal="left" wrapText="1"/>
    </xf>
    <xf numFmtId="0" fontId="3" fillId="2" borderId="4" xfId="0" applyFont="1" applyFill="1" applyBorder="1" applyAlignment="1">
      <alignment horizontal="left" wrapText="1"/>
    </xf>
    <xf numFmtId="0" fontId="7" fillId="2" borderId="1" xfId="0" applyFont="1" applyFill="1" applyBorder="1" applyAlignment="1">
      <alignment horizontal="center"/>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2" xfId="0" applyFont="1" applyFill="1" applyBorder="1" applyAlignment="1">
      <alignment horizont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17" fillId="2" borderId="2" xfId="0" applyFont="1" applyFill="1" applyBorder="1" applyAlignment="1">
      <alignment horizontal="left"/>
    </xf>
    <xf numFmtId="0" fontId="17" fillId="2" borderId="3" xfId="0" applyFont="1" applyFill="1" applyBorder="1" applyAlignment="1">
      <alignment horizontal="left"/>
    </xf>
    <xf numFmtId="0" fontId="17" fillId="2" borderId="4" xfId="0" applyFont="1" applyFill="1" applyBorder="1" applyAlignment="1">
      <alignment horizontal="left"/>
    </xf>
    <xf numFmtId="0" fontId="7" fillId="2" borderId="1" xfId="0" applyFont="1" applyFill="1" applyBorder="1" applyAlignment="1">
      <alignment horizontal="center" vertical="center" wrapText="1"/>
    </xf>
    <xf numFmtId="3" fontId="2" fillId="2" borderId="1" xfId="1" applyNumberFormat="1" applyFont="1" applyFill="1" applyBorder="1" applyAlignment="1">
      <alignment horizontal="right"/>
    </xf>
  </cellXfs>
  <cellStyles count="37">
    <cellStyle name="Comma" xfId="1" builtinId="3"/>
    <cellStyle name="Comma 2" xfId="3" xr:uid="{30BD5B2F-1EB9-4733-BEAD-D92ED28456EE}"/>
    <cellStyle name="Comma 2 2" xfId="6" xr:uid="{53125E01-00A6-41D1-BBD3-4E58615F1871}"/>
    <cellStyle name="Comma 2 2 2" xfId="14" xr:uid="{7156223F-0973-4ED3-84F8-E4AD642C654B}"/>
    <cellStyle name="Comma 2 2 2 2" xfId="33" xr:uid="{EADE5436-5B51-427D-B6F9-AFD62B6BF677}"/>
    <cellStyle name="Comma 2 2 3" xfId="25" xr:uid="{0C98AB05-E284-468B-918B-C2A567BA889D}"/>
    <cellStyle name="Comma 2 3" xfId="11" xr:uid="{7DDA6197-B3A4-49FE-8F0B-B420FAFA25F9}"/>
    <cellStyle name="Comma 2 3 2" xfId="30" xr:uid="{11714ED8-6F75-4037-AF3E-59B722447BD7}"/>
    <cellStyle name="Comma 2 4" xfId="22" xr:uid="{E5131083-8814-433C-BD1C-F026C82724C4}"/>
    <cellStyle name="Comma 3" xfId="2" xr:uid="{D8138C7B-2214-4A8B-AB4A-5E421ED96275}"/>
    <cellStyle name="Comma 3 2" xfId="5" xr:uid="{EFFAA354-19B3-4B81-BC31-3C96DC183D58}"/>
    <cellStyle name="Comma 3 2 2" xfId="13" xr:uid="{C4C7C6E3-6BF4-4B79-BC0F-0325084E0905}"/>
    <cellStyle name="Comma 3 2 2 2" xfId="32" xr:uid="{E5995E32-E941-4AA9-A90B-2F6D2116B15A}"/>
    <cellStyle name="Comma 3 2 3" xfId="24" xr:uid="{411EE1AA-BA27-4B6D-A7F9-580AC4E04A64}"/>
    <cellStyle name="Comma 3 3" xfId="10" xr:uid="{82C1D4DA-97FD-42E2-9386-FEF18D9C5F23}"/>
    <cellStyle name="Comma 3 3 2" xfId="29" xr:uid="{FDF895CA-A468-4B43-9AB2-79A524D683B8}"/>
    <cellStyle name="Comma 3 4" xfId="21" xr:uid="{79F8ADEB-854D-4608-AA4A-D4198618507A}"/>
    <cellStyle name="Comma 4" xfId="4" xr:uid="{78D32853-AFFC-449A-BD4D-92FF6C46FEE2}"/>
    <cellStyle name="Comma 4 2" xfId="7" xr:uid="{86808C50-4640-4AF8-8383-F882571F043A}"/>
    <cellStyle name="Comma 4 2 2" xfId="15" xr:uid="{691E0DD5-581D-4362-9A0C-939A8D80034D}"/>
    <cellStyle name="Comma 4 2 2 2" xfId="34" xr:uid="{F667EA29-8774-4B0B-9EBC-53961E1ECCFF}"/>
    <cellStyle name="Comma 4 2 3" xfId="26" xr:uid="{1BB1D183-5C6F-4EC7-A6E7-F9C6EFBFC119}"/>
    <cellStyle name="Comma 4 3" xfId="12" xr:uid="{A1889B7B-8F22-421C-B55B-3BE3BFE177DA}"/>
    <cellStyle name="Comma 4 3 2" xfId="31" xr:uid="{28CB49F6-273F-477F-AC07-48162162C79E}"/>
    <cellStyle name="Comma 4 4" xfId="23" xr:uid="{A5DF2611-64AB-4ACF-A787-D730A73D0322}"/>
    <cellStyle name="Comma 5" xfId="8" xr:uid="{3B3C220F-469E-409A-AB08-3B968954E429}"/>
    <cellStyle name="Comma 5 2" xfId="16" xr:uid="{45DA3A91-F2C9-4A6F-A777-94FFCC4F622F}"/>
    <cellStyle name="Comma 5 2 2" xfId="35" xr:uid="{1F4EA036-9CD7-44DA-9CE5-B86E348C7949}"/>
    <cellStyle name="Comma 5 3" xfId="27" xr:uid="{8FE5103D-3902-43CF-87FB-2CB301BCB9B6}"/>
    <cellStyle name="Comma 6" xfId="9" xr:uid="{A063E0BB-8B16-4EF0-98DA-ED56A72DC3B9}"/>
    <cellStyle name="Comma 6 2" xfId="28" xr:uid="{27C586FD-D77C-4FFB-A8F0-4E2E5EA7F0E2}"/>
    <cellStyle name="Comma 7" xfId="19" xr:uid="{67EF5B62-3852-4ADB-910B-EC1E45919303}"/>
    <cellStyle name="Comma 7 2" xfId="36" xr:uid="{E16A9840-6F0B-4E8E-AFDD-68F17A1D695B}"/>
    <cellStyle name="Comma 8" xfId="20" xr:uid="{2A649EC7-0442-4B7F-B045-B8A8DCFF81CD}"/>
    <cellStyle name="Normal" xfId="0" builtinId="0"/>
    <cellStyle name="Normal 2" xfId="18" xr:uid="{5AE2D0D6-5F18-4898-9B86-A501E21BF0CB}"/>
    <cellStyle name="Normal 30 2" xfId="17" xr:uid="{41600ABF-E496-4AA4-AEAF-E8EE11718F3C}"/>
  </cellStyles>
  <dxfs count="0"/>
  <tableStyles count="0" defaultTableStyle="TableStyleMedium2" defaultPivotStyle="PivotStyleLight16"/>
  <colors>
    <mruColors>
      <color rgb="FF66CC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35054-12CE-4F6A-A974-CE583160E225}">
  <sheetPr>
    <tabColor rgb="FF00B050"/>
  </sheetPr>
  <dimension ref="A1:K23"/>
  <sheetViews>
    <sheetView zoomScale="130" zoomScaleNormal="130" workbookViewId="0">
      <pane ySplit="3" topLeftCell="A13" activePane="bottomLeft" state="frozen"/>
      <selection pane="bottomLeft" activeCell="C25" sqref="C25"/>
    </sheetView>
  </sheetViews>
  <sheetFormatPr defaultColWidth="8.90625" defaultRowHeight="14.5" x14ac:dyDescent="0.35"/>
  <cols>
    <col min="1" max="1" width="11.453125" style="18" customWidth="1"/>
    <col min="2" max="2" width="9.6328125" style="18" bestFit="1" customWidth="1"/>
    <col min="3" max="3" width="10.36328125" style="18" customWidth="1"/>
    <col min="4" max="4" width="9" style="18" bestFit="1" customWidth="1"/>
    <col min="5" max="5" width="11.08984375" style="18" customWidth="1"/>
    <col min="6" max="8" width="12.08984375" style="18" customWidth="1"/>
    <col min="9" max="11" width="10.36328125" style="9" customWidth="1"/>
    <col min="12" max="16384" width="8.90625" style="9"/>
  </cols>
  <sheetData>
    <row r="1" spans="1:11" ht="18.5" x14ac:dyDescent="0.45">
      <c r="A1" s="103" t="s">
        <v>42</v>
      </c>
      <c r="B1" s="104"/>
      <c r="C1" s="104"/>
      <c r="D1" s="104"/>
      <c r="E1" s="104"/>
      <c r="F1" s="104"/>
      <c r="G1" s="104"/>
      <c r="H1" s="104"/>
      <c r="I1" s="105"/>
      <c r="J1" s="37"/>
    </row>
    <row r="2" spans="1:11" ht="16.75" customHeight="1" x14ac:dyDescent="0.35">
      <c r="A2" s="106" t="s">
        <v>4</v>
      </c>
      <c r="B2" s="107" t="s">
        <v>0</v>
      </c>
      <c r="C2" s="107"/>
      <c r="D2" s="107" t="s">
        <v>5</v>
      </c>
      <c r="E2" s="107"/>
      <c r="F2" s="107" t="s">
        <v>8</v>
      </c>
      <c r="G2" s="107"/>
      <c r="H2" s="107" t="s">
        <v>6</v>
      </c>
      <c r="I2" s="107"/>
      <c r="J2" s="24"/>
      <c r="K2" s="21"/>
    </row>
    <row r="3" spans="1:11" ht="43.25" customHeight="1" x14ac:dyDescent="0.35">
      <c r="A3" s="106"/>
      <c r="B3" s="21" t="s">
        <v>3</v>
      </c>
      <c r="C3" s="21" t="s">
        <v>17</v>
      </c>
      <c r="D3" s="21" t="s">
        <v>13</v>
      </c>
      <c r="E3" s="21" t="s">
        <v>17</v>
      </c>
      <c r="F3" s="21" t="s">
        <v>14</v>
      </c>
      <c r="G3" s="21" t="s">
        <v>17</v>
      </c>
      <c r="H3" s="21" t="s">
        <v>14</v>
      </c>
      <c r="I3" s="21" t="s">
        <v>17</v>
      </c>
      <c r="J3" s="24"/>
      <c r="K3" s="21"/>
    </row>
    <row r="4" spans="1:11" x14ac:dyDescent="0.35">
      <c r="A4" s="22">
        <v>2005</v>
      </c>
      <c r="B4" s="23">
        <v>2259</v>
      </c>
      <c r="C4" s="23" t="s">
        <v>7</v>
      </c>
      <c r="D4" s="23">
        <v>15</v>
      </c>
      <c r="E4" s="23"/>
      <c r="F4" s="23">
        <f t="shared" ref="F4:F20" si="0">(B4*D4)*1000</f>
        <v>33885000</v>
      </c>
      <c r="G4" s="23"/>
      <c r="H4" s="2">
        <v>40000006</v>
      </c>
      <c r="I4" s="29"/>
      <c r="J4" s="29"/>
    </row>
    <row r="5" spans="1:11" x14ac:dyDescent="0.35">
      <c r="A5" s="22">
        <v>2006</v>
      </c>
      <c r="B5" s="23">
        <v>1700</v>
      </c>
      <c r="C5" s="23">
        <f t="shared" ref="C5:C20" si="1">(B5-B4)/B4*100</f>
        <v>-24.745462594068172</v>
      </c>
      <c r="D5" s="23">
        <v>24.9</v>
      </c>
      <c r="E5" s="23">
        <f>(D5-D4)/D4*100</f>
        <v>65.999999999999986</v>
      </c>
      <c r="F5" s="23">
        <f t="shared" si="0"/>
        <v>42330000</v>
      </c>
      <c r="G5" s="23">
        <f>(F5-F4)/F4*100</f>
        <v>24.922532093846836</v>
      </c>
      <c r="H5" s="2">
        <v>36200000</v>
      </c>
      <c r="I5" s="23">
        <f>(H5-H4)/H4*100</f>
        <v>-9.5000135749979631</v>
      </c>
      <c r="J5" s="23"/>
      <c r="K5" s="23"/>
    </row>
    <row r="6" spans="1:11" x14ac:dyDescent="0.35">
      <c r="A6" s="22">
        <v>2007</v>
      </c>
      <c r="B6" s="23">
        <v>3350</v>
      </c>
      <c r="C6" s="23">
        <f t="shared" si="1"/>
        <v>97.058823529411768</v>
      </c>
      <c r="D6" s="23">
        <v>27.6</v>
      </c>
      <c r="E6" s="23">
        <f t="shared" ref="E6:E20" si="2">(D6-D5)/D5*100</f>
        <v>10.843373493975916</v>
      </c>
      <c r="F6" s="23">
        <f t="shared" si="0"/>
        <v>92460000</v>
      </c>
      <c r="G6" s="23">
        <f t="shared" ref="G6:G20" si="3">(F6-F5)/F5*100</f>
        <v>118.42664776754074</v>
      </c>
      <c r="H6" s="2">
        <v>75600000</v>
      </c>
      <c r="I6" s="23">
        <f t="shared" ref="I6:I19" si="4">(H6-H5)/H5*100</f>
        <v>108.83977900552486</v>
      </c>
      <c r="J6" s="23"/>
      <c r="K6" s="23"/>
    </row>
    <row r="7" spans="1:11" x14ac:dyDescent="0.35">
      <c r="A7" s="22">
        <v>2008</v>
      </c>
      <c r="B7" s="23">
        <v>3286</v>
      </c>
      <c r="C7" s="23">
        <f t="shared" si="1"/>
        <v>-1.9104477611940298</v>
      </c>
      <c r="D7" s="23">
        <v>27.5</v>
      </c>
      <c r="E7" s="23">
        <f t="shared" si="2"/>
        <v>-0.36231884057971525</v>
      </c>
      <c r="F7" s="23">
        <f t="shared" si="0"/>
        <v>90365000</v>
      </c>
      <c r="G7" s="23">
        <f t="shared" si="3"/>
        <v>-2.2658446895955007</v>
      </c>
      <c r="H7" s="2">
        <v>70500000</v>
      </c>
      <c r="I7" s="23">
        <f t="shared" si="4"/>
        <v>-6.746031746031746</v>
      </c>
      <c r="J7" s="23"/>
      <c r="K7" s="23"/>
    </row>
    <row r="8" spans="1:11" x14ac:dyDescent="0.35">
      <c r="A8" s="22">
        <v>2009</v>
      </c>
      <c r="B8" s="23">
        <v>2603</v>
      </c>
      <c r="C8" s="23">
        <f t="shared" si="1"/>
        <v>-20.785149117468045</v>
      </c>
      <c r="D8" s="23">
        <v>26.5</v>
      </c>
      <c r="E8" s="23">
        <f t="shared" si="2"/>
        <v>-3.6363636363636362</v>
      </c>
      <c r="F8" s="23">
        <f t="shared" si="0"/>
        <v>68979500</v>
      </c>
      <c r="G8" s="23">
        <f t="shared" si="3"/>
        <v>-23.665689149560119</v>
      </c>
      <c r="H8" s="2">
        <v>55800000</v>
      </c>
      <c r="I8" s="23">
        <f t="shared" si="4"/>
        <v>-20.851063829787233</v>
      </c>
      <c r="J8" s="23"/>
      <c r="K8" s="23"/>
    </row>
    <row r="9" spans="1:11" x14ac:dyDescent="0.35">
      <c r="A9" s="22">
        <v>2010</v>
      </c>
      <c r="B9" s="23">
        <v>2792</v>
      </c>
      <c r="C9" s="23">
        <f t="shared" si="1"/>
        <v>7.2608528620822117</v>
      </c>
      <c r="D9" s="23">
        <v>25</v>
      </c>
      <c r="E9" s="23">
        <f t="shared" si="2"/>
        <v>-5.6603773584905666</v>
      </c>
      <c r="F9" s="23">
        <f t="shared" si="0"/>
        <v>69800000</v>
      </c>
      <c r="G9" s="23">
        <f t="shared" si="3"/>
        <v>1.189483832153031</v>
      </c>
      <c r="H9" s="2">
        <v>60300000</v>
      </c>
      <c r="I9" s="23">
        <f t="shared" si="4"/>
        <v>8.064516129032258</v>
      </c>
      <c r="J9" s="23"/>
      <c r="K9" s="23"/>
    </row>
    <row r="10" spans="1:11" x14ac:dyDescent="0.35">
      <c r="A10" s="22">
        <v>2011</v>
      </c>
      <c r="B10" s="23">
        <v>2227</v>
      </c>
      <c r="C10" s="23">
        <f t="shared" si="1"/>
        <v>-20.236389684813755</v>
      </c>
      <c r="D10" s="23">
        <v>27.5</v>
      </c>
      <c r="E10" s="23">
        <f t="shared" si="2"/>
        <v>10</v>
      </c>
      <c r="F10" s="23">
        <f t="shared" si="0"/>
        <v>61242500</v>
      </c>
      <c r="G10" s="23">
        <f t="shared" si="3"/>
        <v>-12.260028653295128</v>
      </c>
      <c r="H10" s="2">
        <v>131900000</v>
      </c>
      <c r="I10" s="23">
        <f t="shared" si="4"/>
        <v>118.73963515754559</v>
      </c>
      <c r="J10" s="23"/>
      <c r="K10" s="23"/>
    </row>
    <row r="11" spans="1:11" x14ac:dyDescent="0.35">
      <c r="A11" s="22">
        <v>2012</v>
      </c>
      <c r="B11" s="23">
        <v>3328</v>
      </c>
      <c r="C11" s="23">
        <f t="shared" si="1"/>
        <v>49.438706780422095</v>
      </c>
      <c r="D11" s="23">
        <v>25.75</v>
      </c>
      <c r="E11" s="23">
        <f t="shared" si="2"/>
        <v>-6.3636363636363633</v>
      </c>
      <c r="F11" s="23">
        <f t="shared" si="0"/>
        <v>85696000</v>
      </c>
      <c r="G11" s="23">
        <f t="shared" si="3"/>
        <v>39.928970894395235</v>
      </c>
      <c r="H11" s="2">
        <v>128600000</v>
      </c>
      <c r="I11" s="23">
        <f t="shared" si="4"/>
        <v>-2.5018953752843061</v>
      </c>
      <c r="J11" s="23"/>
      <c r="K11" s="23"/>
    </row>
    <row r="12" spans="1:11" x14ac:dyDescent="0.35">
      <c r="A12" s="22">
        <v>2013</v>
      </c>
      <c r="B12" s="23">
        <v>3733</v>
      </c>
      <c r="C12" s="23">
        <f t="shared" si="1"/>
        <v>12.169471153846153</v>
      </c>
      <c r="D12" s="23">
        <v>25.75</v>
      </c>
      <c r="E12" s="23">
        <f t="shared" si="2"/>
        <v>0</v>
      </c>
      <c r="F12" s="23">
        <f t="shared" si="0"/>
        <v>96124750</v>
      </c>
      <c r="G12" s="23">
        <f t="shared" si="3"/>
        <v>12.169471153846153</v>
      </c>
      <c r="H12" s="2">
        <v>135200000</v>
      </c>
      <c r="I12" s="23">
        <f t="shared" si="4"/>
        <v>5.132192846034215</v>
      </c>
      <c r="J12" s="23"/>
      <c r="K12" s="23"/>
    </row>
    <row r="13" spans="1:11" x14ac:dyDescent="0.35">
      <c r="A13" s="22">
        <v>2014</v>
      </c>
      <c r="B13" s="23">
        <v>3871</v>
      </c>
      <c r="C13" s="23">
        <f t="shared" si="1"/>
        <v>3.6967586391642113</v>
      </c>
      <c r="D13" s="23">
        <v>34.5</v>
      </c>
      <c r="E13" s="23">
        <f t="shared" si="2"/>
        <v>33.980582524271846</v>
      </c>
      <c r="F13" s="23">
        <f t="shared" si="0"/>
        <v>133549500</v>
      </c>
      <c r="G13" s="23">
        <f t="shared" si="3"/>
        <v>38.933521283540401</v>
      </c>
      <c r="H13" s="2">
        <v>122100000</v>
      </c>
      <c r="I13" s="23">
        <f t="shared" si="4"/>
        <v>-9.6893491124260347</v>
      </c>
      <c r="J13" s="23"/>
      <c r="K13" s="23"/>
    </row>
    <row r="14" spans="1:11" x14ac:dyDescent="0.35">
      <c r="A14" s="22">
        <v>2015</v>
      </c>
      <c r="B14" s="23">
        <v>6442</v>
      </c>
      <c r="C14" s="23">
        <f t="shared" si="1"/>
        <v>66.416946525445624</v>
      </c>
      <c r="D14" s="23">
        <v>36</v>
      </c>
      <c r="E14" s="23">
        <f t="shared" si="2"/>
        <v>4.3478260869565215</v>
      </c>
      <c r="F14" s="23">
        <f t="shared" si="0"/>
        <v>231912000</v>
      </c>
      <c r="G14" s="23">
        <f t="shared" si="3"/>
        <v>73.65246593959543</v>
      </c>
      <c r="H14" s="2">
        <v>203100000</v>
      </c>
      <c r="I14" s="23">
        <f t="shared" si="4"/>
        <v>66.339066339066349</v>
      </c>
      <c r="J14" s="23"/>
      <c r="K14" s="23"/>
    </row>
    <row r="15" spans="1:11" x14ac:dyDescent="0.35">
      <c r="A15" s="22">
        <v>2016</v>
      </c>
      <c r="B15" s="23">
        <v>7595</v>
      </c>
      <c r="C15" s="23">
        <f t="shared" si="1"/>
        <v>17.898168270723378</v>
      </c>
      <c r="D15" s="23">
        <v>80</v>
      </c>
      <c r="E15" s="23">
        <f t="shared" si="2"/>
        <v>122.22222222222223</v>
      </c>
      <c r="F15" s="23">
        <f t="shared" si="0"/>
        <v>607600000</v>
      </c>
      <c r="G15" s="23">
        <f t="shared" si="3"/>
        <v>161.99592949049639</v>
      </c>
      <c r="H15" s="2">
        <v>596500000</v>
      </c>
      <c r="I15" s="23">
        <f t="shared" si="4"/>
        <v>193.69768586903004</v>
      </c>
      <c r="J15" s="23"/>
      <c r="K15" s="23"/>
    </row>
    <row r="16" spans="1:11" x14ac:dyDescent="0.35">
      <c r="A16" s="22">
        <v>2017</v>
      </c>
      <c r="B16" s="23">
        <v>9113</v>
      </c>
      <c r="C16" s="23">
        <f t="shared" si="1"/>
        <v>19.986833443054643</v>
      </c>
      <c r="D16" s="23">
        <v>71.25</v>
      </c>
      <c r="E16" s="23">
        <f t="shared" si="2"/>
        <v>-10.9375</v>
      </c>
      <c r="F16" s="23">
        <f t="shared" si="0"/>
        <v>649301250</v>
      </c>
      <c r="G16" s="23">
        <f t="shared" si="3"/>
        <v>6.8632735352205403</v>
      </c>
      <c r="H16" s="2">
        <v>770300000</v>
      </c>
      <c r="I16" s="23">
        <f t="shared" si="4"/>
        <v>29.136630343671417</v>
      </c>
      <c r="J16" s="23"/>
      <c r="K16" s="23"/>
    </row>
    <row r="17" spans="1:11" x14ac:dyDescent="0.35">
      <c r="A17" s="22">
        <v>2018</v>
      </c>
      <c r="B17" s="23">
        <v>10481</v>
      </c>
      <c r="C17" s="23">
        <f t="shared" si="1"/>
        <v>15.011522001536267</v>
      </c>
      <c r="D17" s="23">
        <v>80</v>
      </c>
      <c r="E17" s="23">
        <f t="shared" si="2"/>
        <v>12.280701754385964</v>
      </c>
      <c r="F17" s="23">
        <f t="shared" si="0"/>
        <v>838480000</v>
      </c>
      <c r="G17" s="23">
        <f t="shared" si="3"/>
        <v>29.135744001724934</v>
      </c>
      <c r="H17" s="2">
        <v>823200000</v>
      </c>
      <c r="I17" s="23">
        <f t="shared" si="4"/>
        <v>6.8674542386083353</v>
      </c>
      <c r="J17" s="23"/>
      <c r="K17" s="23"/>
    </row>
    <row r="18" spans="1:11" x14ac:dyDescent="0.35">
      <c r="A18" s="22">
        <v>2019</v>
      </c>
      <c r="B18" s="23">
        <v>11742</v>
      </c>
      <c r="C18" s="23">
        <f t="shared" si="1"/>
        <v>12.031294723785898</v>
      </c>
      <c r="D18" s="23">
        <v>95</v>
      </c>
      <c r="E18" s="23">
        <f t="shared" si="2"/>
        <v>18.75</v>
      </c>
      <c r="F18" s="23">
        <f t="shared" si="0"/>
        <v>1115490000</v>
      </c>
      <c r="G18" s="23">
        <f t="shared" si="3"/>
        <v>33.037162484495752</v>
      </c>
      <c r="H18" s="2">
        <v>1060400000</v>
      </c>
      <c r="I18" s="23">
        <f t="shared" si="4"/>
        <v>28.814382896015552</v>
      </c>
      <c r="J18" s="23"/>
      <c r="K18" s="23"/>
    </row>
    <row r="19" spans="1:11" s="80" customFormat="1" x14ac:dyDescent="0.35">
      <c r="A19" s="78">
        <v>2020</v>
      </c>
      <c r="B19" s="79">
        <v>13188</v>
      </c>
      <c r="C19" s="79">
        <f t="shared" si="1"/>
        <v>12.314767501277466</v>
      </c>
      <c r="D19" s="79">
        <v>90</v>
      </c>
      <c r="E19" s="79">
        <f t="shared" si="2"/>
        <v>-5.2631578947368416</v>
      </c>
      <c r="F19" s="79">
        <f t="shared" si="0"/>
        <v>1186920000</v>
      </c>
      <c r="G19" s="79">
        <f t="shared" si="3"/>
        <v>6.4034639485786515</v>
      </c>
      <c r="H19" s="76">
        <v>1128600000</v>
      </c>
      <c r="I19" s="79">
        <f t="shared" si="4"/>
        <v>6.4315352697095429</v>
      </c>
      <c r="J19" s="79"/>
      <c r="K19" s="79"/>
    </row>
    <row r="20" spans="1:11" s="80" customFormat="1" x14ac:dyDescent="0.35">
      <c r="A20" s="78">
        <v>2021</v>
      </c>
      <c r="B20" s="79">
        <v>13790</v>
      </c>
      <c r="C20" s="79">
        <f t="shared" si="1"/>
        <v>4.5647558386411884</v>
      </c>
      <c r="D20" s="79">
        <v>70</v>
      </c>
      <c r="E20" s="79">
        <f t="shared" si="2"/>
        <v>-22.222222222222221</v>
      </c>
      <c r="F20" s="79">
        <f t="shared" si="0"/>
        <v>965300000</v>
      </c>
      <c r="G20" s="79">
        <f t="shared" si="3"/>
        <v>-18.671856569945742</v>
      </c>
      <c r="H20" s="73" t="s">
        <v>66</v>
      </c>
      <c r="I20" s="77" t="s">
        <v>66</v>
      </c>
      <c r="J20" s="79"/>
      <c r="K20" s="79"/>
    </row>
    <row r="21" spans="1:11" x14ac:dyDescent="0.35">
      <c r="A21" s="22"/>
      <c r="B21" s="22"/>
      <c r="C21" s="22"/>
      <c r="D21" s="22"/>
      <c r="E21" s="22"/>
      <c r="F21" s="22"/>
      <c r="G21" s="22"/>
      <c r="H21" s="22"/>
    </row>
    <row r="22" spans="1:11" x14ac:dyDescent="0.35">
      <c r="A22" s="18" t="s">
        <v>48</v>
      </c>
    </row>
    <row r="23" spans="1:11" x14ac:dyDescent="0.35">
      <c r="A23" s="81" t="s">
        <v>66</v>
      </c>
      <c r="B23" s="18" t="s">
        <v>67</v>
      </c>
    </row>
  </sheetData>
  <mergeCells count="6">
    <mergeCell ref="A1:I1"/>
    <mergeCell ref="A2:A3"/>
    <mergeCell ref="B2:C2"/>
    <mergeCell ref="D2:E2"/>
    <mergeCell ref="F2:G2"/>
    <mergeCell ref="H2:I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9ECC3-906A-423A-9EA3-96A84505CC3B}">
  <sheetPr>
    <tabColor rgb="FFFF66FF"/>
  </sheetPr>
  <dimension ref="A1:I15"/>
  <sheetViews>
    <sheetView zoomScale="120" zoomScaleNormal="120" workbookViewId="0">
      <pane ySplit="3" topLeftCell="A4" activePane="bottomLeft" state="frozen"/>
      <selection pane="bottomLeft" activeCell="K10" sqref="K10"/>
    </sheetView>
  </sheetViews>
  <sheetFormatPr defaultColWidth="8.90625" defaultRowHeight="14.5" x14ac:dyDescent="0.35"/>
  <cols>
    <col min="1" max="1" width="7.1796875" style="18" customWidth="1"/>
    <col min="2" max="2" width="8.90625" style="18"/>
    <col min="3" max="3" width="12.6328125" style="18" customWidth="1"/>
    <col min="4" max="4" width="10.6328125" style="18" bestFit="1" customWidth="1"/>
    <col min="5" max="5" width="12.36328125" style="18" customWidth="1"/>
    <col min="6" max="6" width="9.81640625" style="18" customWidth="1"/>
    <col min="7" max="7" width="15.54296875" style="18" customWidth="1"/>
    <col min="8" max="8" width="14.36328125" style="18" customWidth="1"/>
    <col min="9" max="9" width="13.36328125" style="18" customWidth="1"/>
    <col min="10" max="16384" width="8.90625" style="18"/>
  </cols>
  <sheetData>
    <row r="1" spans="1:9" s="48" customFormat="1" ht="18.5" x14ac:dyDescent="0.45">
      <c r="A1" s="125" t="s">
        <v>54</v>
      </c>
      <c r="B1" s="126"/>
      <c r="C1" s="126"/>
      <c r="D1" s="126"/>
      <c r="E1" s="126"/>
      <c r="F1" s="126"/>
      <c r="G1" s="126"/>
      <c r="H1" s="126"/>
      <c r="I1" s="127"/>
    </row>
    <row r="2" spans="1:9" s="20" customFormat="1" x14ac:dyDescent="0.35">
      <c r="A2" s="128" t="s">
        <v>4</v>
      </c>
      <c r="B2" s="122" t="s">
        <v>2</v>
      </c>
      <c r="C2" s="123"/>
      <c r="D2" s="123"/>
      <c r="E2" s="123"/>
      <c r="F2" s="123"/>
      <c r="G2" s="123"/>
      <c r="H2" s="123"/>
      <c r="I2" s="123"/>
    </row>
    <row r="3" spans="1:9" s="20" customFormat="1" ht="43.25" customHeight="1" x14ac:dyDescent="0.35">
      <c r="A3" s="128"/>
      <c r="B3" s="4" t="s">
        <v>3</v>
      </c>
      <c r="C3" s="6" t="s">
        <v>18</v>
      </c>
      <c r="D3" s="5" t="s">
        <v>63</v>
      </c>
      <c r="E3" s="6" t="s">
        <v>21</v>
      </c>
      <c r="F3" s="7" t="s">
        <v>20</v>
      </c>
      <c r="G3" s="6" t="s">
        <v>31</v>
      </c>
      <c r="H3" s="6" t="s">
        <v>32</v>
      </c>
      <c r="I3" s="6" t="s">
        <v>11</v>
      </c>
    </row>
    <row r="4" spans="1:9" x14ac:dyDescent="0.35">
      <c r="A4" s="18">
        <v>2012</v>
      </c>
      <c r="B4" s="19">
        <v>117.264</v>
      </c>
      <c r="C4" s="19"/>
      <c r="D4" s="19">
        <v>1984257</v>
      </c>
      <c r="E4" s="19"/>
      <c r="F4" s="19">
        <f t="shared" ref="F4:F13" si="0">(D4/B4)</f>
        <v>16921.280188293083</v>
      </c>
      <c r="G4" s="19"/>
      <c r="H4" s="3">
        <v>135133000</v>
      </c>
      <c r="I4" s="19">
        <f>D4/H4*100</f>
        <v>1.4683733802994088</v>
      </c>
    </row>
    <row r="5" spans="1:9" x14ac:dyDescent="0.35">
      <c r="A5" s="18">
        <v>2013</v>
      </c>
      <c r="B5" s="19">
        <v>109.652</v>
      </c>
      <c r="C5" s="19">
        <f t="shared" ref="C5:C13" si="1">(B5-B4)/B4*100</f>
        <v>-6.491335789330055</v>
      </c>
      <c r="D5" s="19">
        <v>2484826</v>
      </c>
      <c r="E5" s="19">
        <f t="shared" ref="E5:E13" si="2">(D5-D4)/D4*100</f>
        <v>25.227024523537022</v>
      </c>
      <c r="F5" s="19">
        <f t="shared" si="0"/>
        <v>22661.018494874694</v>
      </c>
      <c r="G5" s="19">
        <f t="shared" ref="G5:G13" si="3">(F5-F4)/F4*100</f>
        <v>33.920236782986571</v>
      </c>
      <c r="H5" s="3">
        <v>141857785</v>
      </c>
      <c r="I5" s="19">
        <f t="shared" ref="I5:I13" si="4">D5/H5*100</f>
        <v>1.751631748655881</v>
      </c>
    </row>
    <row r="6" spans="1:9" x14ac:dyDescent="0.35">
      <c r="A6" s="18">
        <v>2014</v>
      </c>
      <c r="B6" s="19">
        <v>109.97434277777778</v>
      </c>
      <c r="C6" s="19">
        <f t="shared" si="1"/>
        <v>0.29396889958940758</v>
      </c>
      <c r="D6" s="19">
        <v>2797375</v>
      </c>
      <c r="E6" s="19">
        <f t="shared" si="2"/>
        <v>12.578305281738036</v>
      </c>
      <c r="F6" s="19">
        <f t="shared" si="0"/>
        <v>25436.614844360389</v>
      </c>
      <c r="G6" s="19">
        <f t="shared" si="3"/>
        <v>12.24833010093284</v>
      </c>
      <c r="H6" s="3">
        <v>147922499</v>
      </c>
      <c r="I6" s="19">
        <f t="shared" si="4"/>
        <v>1.8911085324484684</v>
      </c>
    </row>
    <row r="7" spans="1:9" x14ac:dyDescent="0.35">
      <c r="A7" s="18">
        <v>2015</v>
      </c>
      <c r="B7" s="19">
        <v>118.99231339373391</v>
      </c>
      <c r="C7" s="19">
        <f t="shared" si="1"/>
        <v>8.2000677505102288</v>
      </c>
      <c r="D7" s="19">
        <v>3056097</v>
      </c>
      <c r="E7" s="19">
        <f t="shared" si="2"/>
        <v>9.2487421243129724</v>
      </c>
      <c r="F7" s="19">
        <f t="shared" si="0"/>
        <v>25683.146354905079</v>
      </c>
      <c r="G7" s="19">
        <f t="shared" si="3"/>
        <v>0.96919936891425185</v>
      </c>
      <c r="H7" s="3">
        <v>155448160</v>
      </c>
      <c r="I7" s="19">
        <f t="shared" si="4"/>
        <v>1.9659911059738502</v>
      </c>
    </row>
    <row r="8" spans="1:9" x14ac:dyDescent="0.35">
      <c r="A8" s="18">
        <v>2016</v>
      </c>
      <c r="B8" s="19">
        <v>37.364750000000001</v>
      </c>
      <c r="C8" s="19">
        <f t="shared" si="1"/>
        <v>-68.599022126442989</v>
      </c>
      <c r="D8" s="19">
        <v>1079653</v>
      </c>
      <c r="E8" s="19">
        <f t="shared" si="2"/>
        <v>-64.67216191109118</v>
      </c>
      <c r="F8" s="19">
        <f t="shared" si="0"/>
        <v>28894.961159916766</v>
      </c>
      <c r="G8" s="19">
        <f t="shared" si="3"/>
        <v>12.505534799470864</v>
      </c>
      <c r="H8" s="3">
        <v>184166367</v>
      </c>
      <c r="I8" s="19">
        <f t="shared" si="4"/>
        <v>0.58623787697348662</v>
      </c>
    </row>
    <row r="9" spans="1:9" x14ac:dyDescent="0.35">
      <c r="A9" s="18">
        <v>2017</v>
      </c>
      <c r="B9" s="19">
        <v>90.431137499999991</v>
      </c>
      <c r="C9" s="19">
        <f t="shared" si="1"/>
        <v>142.02259482533668</v>
      </c>
      <c r="D9" s="19">
        <v>4799449</v>
      </c>
      <c r="E9" s="19">
        <f t="shared" si="2"/>
        <v>344.53625377783419</v>
      </c>
      <c r="F9" s="19">
        <f t="shared" si="0"/>
        <v>53072.969473595316</v>
      </c>
      <c r="G9" s="19">
        <f t="shared" si="3"/>
        <v>83.675517609687617</v>
      </c>
      <c r="H9" s="3">
        <v>171027798</v>
      </c>
      <c r="I9" s="19">
        <f t="shared" si="4"/>
        <v>2.8062391354649843</v>
      </c>
    </row>
    <row r="10" spans="1:9" x14ac:dyDescent="0.35">
      <c r="A10" s="18">
        <v>2018</v>
      </c>
      <c r="B10" s="19">
        <v>102.83861962414473</v>
      </c>
      <c r="C10" s="19">
        <f t="shared" si="1"/>
        <v>13.720364983957806</v>
      </c>
      <c r="D10" s="19">
        <v>6895259</v>
      </c>
      <c r="E10" s="19">
        <f t="shared" si="2"/>
        <v>43.667721023809193</v>
      </c>
      <c r="F10" s="19">
        <f t="shared" si="0"/>
        <v>67049.314986926489</v>
      </c>
      <c r="G10" s="19">
        <f t="shared" si="3"/>
        <v>26.33420675714148</v>
      </c>
      <c r="H10" s="3">
        <v>162638855</v>
      </c>
      <c r="I10" s="19">
        <f t="shared" si="4"/>
        <v>4.2396135904916452</v>
      </c>
    </row>
    <row r="11" spans="1:9" x14ac:dyDescent="0.35">
      <c r="A11" s="18">
        <v>2019</v>
      </c>
      <c r="B11" s="19">
        <v>169.435</v>
      </c>
      <c r="C11" s="19">
        <f t="shared" si="1"/>
        <v>64.758143019861762</v>
      </c>
      <c r="D11" s="19">
        <v>12102265</v>
      </c>
      <c r="E11" s="19">
        <f t="shared" si="2"/>
        <v>75.515742048268237</v>
      </c>
      <c r="F11" s="19">
        <f t="shared" si="0"/>
        <v>71427.184466019418</v>
      </c>
      <c r="G11" s="19">
        <f t="shared" si="3"/>
        <v>6.5293276746325315</v>
      </c>
      <c r="H11" s="3">
        <v>189348691</v>
      </c>
      <c r="I11" s="19">
        <f t="shared" si="4"/>
        <v>6.3915229284579533</v>
      </c>
    </row>
    <row r="12" spans="1:9" x14ac:dyDescent="0.35">
      <c r="A12" s="18">
        <v>2020</v>
      </c>
      <c r="B12" s="19">
        <v>130.08974260300002</v>
      </c>
      <c r="C12" s="19">
        <f t="shared" si="1"/>
        <v>-23.221446216543207</v>
      </c>
      <c r="D12" s="19">
        <v>9411207</v>
      </c>
      <c r="E12" s="19">
        <f t="shared" si="2"/>
        <v>-22.235986404197892</v>
      </c>
      <c r="F12" s="19">
        <f t="shared" si="0"/>
        <v>72343.958960089192</v>
      </c>
      <c r="G12" s="19">
        <f t="shared" si="3"/>
        <v>1.2835092142066973</v>
      </c>
      <c r="H12" s="3">
        <v>193092171</v>
      </c>
      <c r="I12" s="19">
        <f t="shared" si="4"/>
        <v>4.8739454071392672</v>
      </c>
    </row>
    <row r="13" spans="1:9" x14ac:dyDescent="0.35">
      <c r="A13" s="18">
        <v>2021</v>
      </c>
      <c r="B13" s="91">
        <v>226.75879999999998</v>
      </c>
      <c r="C13" s="91">
        <f t="shared" si="1"/>
        <v>74.309515464265857</v>
      </c>
      <c r="D13" s="91">
        <v>14363209</v>
      </c>
      <c r="E13" s="91">
        <f t="shared" si="2"/>
        <v>52.618139203611179</v>
      </c>
      <c r="F13" s="91">
        <f t="shared" si="0"/>
        <v>63341.352132750755</v>
      </c>
      <c r="G13" s="91">
        <f t="shared" si="3"/>
        <v>-12.444172197301238</v>
      </c>
      <c r="H13" s="88">
        <v>233889999</v>
      </c>
      <c r="I13" s="91">
        <f t="shared" si="4"/>
        <v>6.141010330245031</v>
      </c>
    </row>
    <row r="15" spans="1:9" x14ac:dyDescent="0.35">
      <c r="A15" s="18" t="s">
        <v>51</v>
      </c>
    </row>
  </sheetData>
  <mergeCells count="3">
    <mergeCell ref="A2:A3"/>
    <mergeCell ref="B2:I2"/>
    <mergeCell ref="A1:I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AF918-FE7E-40D5-B395-673D99C0C6F7}">
  <sheetPr>
    <tabColor rgb="FF66CCFF"/>
  </sheetPr>
  <dimension ref="A1:F17"/>
  <sheetViews>
    <sheetView tabSelected="1" zoomScale="140" zoomScaleNormal="140" workbookViewId="0">
      <pane ySplit="3" topLeftCell="A10" activePane="bottomLeft" state="frozen"/>
      <selection pane="bottomLeft" activeCell="F14" sqref="F14"/>
    </sheetView>
  </sheetViews>
  <sheetFormatPr defaultColWidth="8.90625" defaultRowHeight="14.5" x14ac:dyDescent="0.35"/>
  <cols>
    <col min="1" max="1" width="8.54296875" style="18" customWidth="1"/>
    <col min="2" max="2" width="12.36328125" style="18" customWidth="1"/>
    <col min="3" max="3" width="10.81640625" style="18" bestFit="1" customWidth="1"/>
    <col min="4" max="4" width="14.90625" style="18" customWidth="1"/>
    <col min="5" max="5" width="14.6328125" style="18" customWidth="1"/>
    <col min="6" max="6" width="49.453125" style="18" customWidth="1"/>
    <col min="7" max="16384" width="8.90625" style="18"/>
  </cols>
  <sheetData>
    <row r="1" spans="1:6" s="48" customFormat="1" ht="18.5" x14ac:dyDescent="0.45">
      <c r="A1" s="48" t="s">
        <v>41</v>
      </c>
      <c r="D1" s="54"/>
      <c r="E1" s="54"/>
    </row>
    <row r="2" spans="1:6" s="11" customFormat="1" x14ac:dyDescent="0.35">
      <c r="B2" s="122" t="s">
        <v>2</v>
      </c>
      <c r="C2" s="123"/>
      <c r="D2" s="123"/>
      <c r="E2" s="124"/>
    </row>
    <row r="3" spans="1:6" ht="45.65" customHeight="1" x14ac:dyDescent="0.35">
      <c r="A3" s="57" t="s">
        <v>4</v>
      </c>
      <c r="B3" s="56" t="s">
        <v>64</v>
      </c>
      <c r="C3" s="6" t="s">
        <v>21</v>
      </c>
      <c r="D3" s="6" t="s">
        <v>33</v>
      </c>
      <c r="E3" s="6" t="s">
        <v>11</v>
      </c>
    </row>
    <row r="4" spans="1:6" x14ac:dyDescent="0.35">
      <c r="A4" s="18">
        <v>2010</v>
      </c>
      <c r="B4" s="19">
        <v>50295</v>
      </c>
      <c r="D4" s="19">
        <v>433870868</v>
      </c>
      <c r="E4" s="43">
        <f>B4/D4*100</f>
        <v>1.1592158798732714E-2</v>
      </c>
      <c r="F4" s="8"/>
    </row>
    <row r="5" spans="1:6" x14ac:dyDescent="0.35">
      <c r="A5" s="18">
        <v>2011</v>
      </c>
      <c r="B5" s="19">
        <v>33949</v>
      </c>
      <c r="C5" s="19">
        <f>(B5-B4)/B4*100</f>
        <v>-32.500248533651458</v>
      </c>
      <c r="D5" s="19">
        <v>463240279</v>
      </c>
      <c r="E5" s="43">
        <f t="shared" ref="E5:E13" si="0">B5/D5*100</f>
        <v>7.3285941527550108E-3</v>
      </c>
    </row>
    <row r="6" spans="1:6" x14ac:dyDescent="0.35">
      <c r="A6" s="18">
        <v>2012</v>
      </c>
      <c r="B6" s="19">
        <v>54058</v>
      </c>
      <c r="C6" s="19">
        <f t="shared" ref="C6:C13" si="1">(B6-B5)/B5*100</f>
        <v>59.232967097705384</v>
      </c>
      <c r="D6" s="19">
        <v>514310359</v>
      </c>
      <c r="E6" s="43">
        <f t="shared" si="0"/>
        <v>1.0510774098563316E-2</v>
      </c>
    </row>
    <row r="7" spans="1:6" x14ac:dyDescent="0.35">
      <c r="A7" s="18">
        <v>2013</v>
      </c>
      <c r="B7" s="19">
        <v>449814</v>
      </c>
      <c r="C7" s="19">
        <f t="shared" si="1"/>
        <v>732.0951570535351</v>
      </c>
      <c r="D7" s="19">
        <v>478543309</v>
      </c>
      <c r="E7" s="43">
        <f t="shared" si="0"/>
        <v>9.3996508056912356E-2</v>
      </c>
    </row>
    <row r="8" spans="1:6" x14ac:dyDescent="0.35">
      <c r="A8" s="18">
        <v>2014</v>
      </c>
      <c r="B8" s="19">
        <v>102215</v>
      </c>
      <c r="C8" s="19">
        <f t="shared" si="1"/>
        <v>-77.276163036277211</v>
      </c>
      <c r="D8" s="19">
        <v>611070027.78999996</v>
      </c>
      <c r="E8" s="43">
        <f t="shared" si="0"/>
        <v>1.6727215433830305E-2</v>
      </c>
    </row>
    <row r="9" spans="1:6" x14ac:dyDescent="0.35">
      <c r="A9" s="18">
        <v>2015</v>
      </c>
      <c r="B9" s="19">
        <v>95625</v>
      </c>
      <c r="C9" s="19">
        <f t="shared" si="1"/>
        <v>-6.4471946387516503</v>
      </c>
      <c r="D9" s="19">
        <v>675394554</v>
      </c>
      <c r="E9" s="43">
        <f t="shared" si="0"/>
        <v>1.4158390741184447E-2</v>
      </c>
    </row>
    <row r="10" spans="1:6" x14ac:dyDescent="0.35">
      <c r="A10" s="18">
        <v>2016</v>
      </c>
      <c r="B10" s="19">
        <v>72479</v>
      </c>
      <c r="C10" s="19">
        <f t="shared" si="1"/>
        <v>-24.204967320261439</v>
      </c>
      <c r="D10" s="19">
        <v>654763945</v>
      </c>
      <c r="E10" s="43">
        <f t="shared" si="0"/>
        <v>1.1069485507483158E-2</v>
      </c>
    </row>
    <row r="11" spans="1:6" x14ac:dyDescent="0.35">
      <c r="A11" s="18">
        <v>2017</v>
      </c>
      <c r="B11" s="19">
        <v>32366</v>
      </c>
      <c r="C11" s="19">
        <f t="shared" si="1"/>
        <v>-55.344306626747056</v>
      </c>
      <c r="D11" s="19">
        <v>578661000</v>
      </c>
      <c r="E11" s="43">
        <f t="shared" si="0"/>
        <v>5.5932575376602192E-3</v>
      </c>
    </row>
    <row r="12" spans="1:6" x14ac:dyDescent="0.35">
      <c r="A12" s="18">
        <v>2018</v>
      </c>
      <c r="B12" s="19">
        <v>67034</v>
      </c>
      <c r="C12" s="19">
        <f t="shared" si="1"/>
        <v>107.11240190323178</v>
      </c>
      <c r="D12" s="19">
        <v>653344000</v>
      </c>
      <c r="E12" s="43">
        <f t="shared" si="0"/>
        <v>1.0260138609981878E-2</v>
      </c>
    </row>
    <row r="13" spans="1:6" x14ac:dyDescent="0.35">
      <c r="A13" s="18">
        <v>2019</v>
      </c>
      <c r="B13" s="19">
        <v>54179</v>
      </c>
      <c r="C13" s="19">
        <f t="shared" si="1"/>
        <v>-19.176835635647581</v>
      </c>
      <c r="D13" s="19">
        <v>711567000</v>
      </c>
      <c r="E13" s="43">
        <f t="shared" si="0"/>
        <v>7.6140405611839785E-3</v>
      </c>
    </row>
    <row r="14" spans="1:6" s="90" customFormat="1" x14ac:dyDescent="0.35">
      <c r="A14" s="90">
        <v>2020</v>
      </c>
      <c r="B14" s="88" t="s">
        <v>66</v>
      </c>
      <c r="C14" s="91"/>
      <c r="D14" s="88" t="s">
        <v>66</v>
      </c>
      <c r="E14" s="43"/>
    </row>
    <row r="15" spans="1:6" s="90" customFormat="1" x14ac:dyDescent="0.35">
      <c r="A15" s="90">
        <v>2021</v>
      </c>
      <c r="B15" s="88" t="s">
        <v>66</v>
      </c>
      <c r="C15" s="91"/>
      <c r="D15" s="88" t="s">
        <v>66</v>
      </c>
      <c r="E15" s="43"/>
    </row>
    <row r="17" spans="1:1" x14ac:dyDescent="0.35">
      <c r="A17" s="18" t="s">
        <v>55</v>
      </c>
    </row>
  </sheetData>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A5F23-E6D5-4EF5-919C-48F26D22E967}">
  <sheetPr>
    <tabColor rgb="FF00B050"/>
  </sheetPr>
  <dimension ref="A1:AA22"/>
  <sheetViews>
    <sheetView zoomScale="120" zoomScaleNormal="120" workbookViewId="0">
      <pane ySplit="3" topLeftCell="A13" activePane="bottomLeft" state="frozen"/>
      <selection pane="bottomLeft" activeCell="G35" sqref="G35"/>
    </sheetView>
  </sheetViews>
  <sheetFormatPr defaultColWidth="8.90625" defaultRowHeight="14.5" x14ac:dyDescent="0.35"/>
  <cols>
    <col min="1" max="2" width="8.90625" style="9"/>
    <col min="3" max="3" width="12" style="9" customWidth="1"/>
    <col min="4" max="4" width="9.90625" style="9" bestFit="1" customWidth="1"/>
    <col min="5" max="5" width="9.81640625" style="9" customWidth="1"/>
    <col min="6" max="6" width="8.90625" style="9"/>
    <col min="7" max="7" width="13.36328125" style="9" customWidth="1"/>
    <col min="8" max="8" width="14.08984375" style="9" customWidth="1"/>
    <col min="9" max="9" width="11.90625" style="9" customWidth="1"/>
    <col min="10" max="18" width="8.90625" style="9"/>
    <col min="19" max="19" width="11.81640625" style="9" customWidth="1"/>
    <col min="20" max="16384" width="8.90625" style="9"/>
  </cols>
  <sheetData>
    <row r="1" spans="1:27" ht="18.5" x14ac:dyDescent="0.45">
      <c r="A1" s="108" t="s">
        <v>43</v>
      </c>
      <c r="B1" s="108"/>
      <c r="C1" s="108"/>
      <c r="D1" s="108"/>
      <c r="E1" s="108"/>
      <c r="F1" s="108"/>
      <c r="G1" s="108"/>
      <c r="H1" s="108"/>
      <c r="I1" s="108"/>
    </row>
    <row r="2" spans="1:27" x14ac:dyDescent="0.35">
      <c r="A2" s="30"/>
      <c r="B2" s="107" t="s">
        <v>2</v>
      </c>
      <c r="C2" s="107"/>
      <c r="D2" s="107"/>
      <c r="E2" s="107"/>
      <c r="F2" s="107"/>
      <c r="G2" s="107"/>
      <c r="H2" s="107"/>
      <c r="I2" s="107"/>
    </row>
    <row r="3" spans="1:27" s="17" customFormat="1" ht="41.4" customHeight="1" x14ac:dyDescent="0.35">
      <c r="A3" s="25" t="s">
        <v>19</v>
      </c>
      <c r="B3" s="21" t="s">
        <v>3</v>
      </c>
      <c r="C3" s="21" t="s">
        <v>18</v>
      </c>
      <c r="D3" s="21" t="s">
        <v>56</v>
      </c>
      <c r="E3" s="21" t="s">
        <v>21</v>
      </c>
      <c r="F3" s="21" t="s">
        <v>15</v>
      </c>
      <c r="G3" s="21" t="s">
        <v>22</v>
      </c>
      <c r="H3" s="21" t="s">
        <v>16</v>
      </c>
      <c r="I3" s="21" t="s">
        <v>11</v>
      </c>
      <c r="S3" s="36"/>
    </row>
    <row r="4" spans="1:27" x14ac:dyDescent="0.35">
      <c r="A4" s="22">
        <v>2005</v>
      </c>
      <c r="B4" s="23">
        <f>473915/1000</f>
        <v>473.91500000000002</v>
      </c>
      <c r="C4" s="23"/>
      <c r="D4" s="23">
        <v>4751933</v>
      </c>
      <c r="E4" s="23"/>
      <c r="F4" s="23">
        <f t="shared" ref="F4:F18" si="0">(D4/B4)</f>
        <v>10026.973191395082</v>
      </c>
      <c r="G4" s="23"/>
      <c r="H4" s="14">
        <v>2722794000</v>
      </c>
      <c r="I4" s="16">
        <f t="shared" ref="I4:I20" si="1">D4/H4*100</f>
        <v>0.17452414688735174</v>
      </c>
      <c r="S4" s="23"/>
    </row>
    <row r="5" spans="1:27" ht="13.75" customHeight="1" x14ac:dyDescent="0.45">
      <c r="A5" s="22">
        <v>2006</v>
      </c>
      <c r="B5" s="23">
        <f>521465/1000</f>
        <v>521.46500000000003</v>
      </c>
      <c r="C5" s="23">
        <f t="shared" ref="C5:E18" si="2">(B5-B4)/B4*100</f>
        <v>10.033444816053514</v>
      </c>
      <c r="D5" s="23">
        <v>8970226</v>
      </c>
      <c r="E5" s="23">
        <f t="shared" si="2"/>
        <v>88.770043685380244</v>
      </c>
      <c r="F5" s="23">
        <f t="shared" si="0"/>
        <v>17201.971369123527</v>
      </c>
      <c r="G5" s="23">
        <f t="shared" ref="G5" si="3">(F5-F4)/F4*100</f>
        <v>71.556969793096314</v>
      </c>
      <c r="H5" s="14">
        <v>3124342000</v>
      </c>
      <c r="I5" s="16">
        <f t="shared" si="1"/>
        <v>0.28710768539423664</v>
      </c>
      <c r="S5" s="103"/>
      <c r="T5" s="104"/>
      <c r="U5" s="104"/>
      <c r="V5" s="104"/>
      <c r="W5" s="104"/>
      <c r="X5" s="104"/>
      <c r="Y5" s="104"/>
      <c r="Z5" s="104"/>
      <c r="AA5" s="105"/>
    </row>
    <row r="6" spans="1:27" x14ac:dyDescent="0.35">
      <c r="A6" s="22">
        <v>2007</v>
      </c>
      <c r="B6" s="23">
        <f>282930/1000</f>
        <v>282.93</v>
      </c>
      <c r="C6" s="23">
        <f t="shared" si="2"/>
        <v>-45.743242595380323</v>
      </c>
      <c r="D6" s="23">
        <v>5819920</v>
      </c>
      <c r="E6" s="23">
        <f t="shared" si="2"/>
        <v>-35.119583386193391</v>
      </c>
      <c r="F6" s="23">
        <f t="shared" si="0"/>
        <v>20570.17636871311</v>
      </c>
      <c r="G6" s="23">
        <f t="shared" ref="G6" si="4">(F6-F5)/F5*100</f>
        <v>19.580343016006307</v>
      </c>
      <c r="H6" s="14">
        <v>2890071000</v>
      </c>
      <c r="I6" s="16">
        <f t="shared" si="1"/>
        <v>0.20137636757020849</v>
      </c>
      <c r="S6" s="23"/>
    </row>
    <row r="7" spans="1:27" x14ac:dyDescent="0.35">
      <c r="A7" s="22">
        <v>2008</v>
      </c>
      <c r="B7" s="23">
        <f>220330/1000</f>
        <v>220.33</v>
      </c>
      <c r="C7" s="23">
        <f t="shared" si="2"/>
        <v>-22.125614109497047</v>
      </c>
      <c r="D7" s="23">
        <v>4563557</v>
      </c>
      <c r="E7" s="23">
        <f t="shared" si="2"/>
        <v>-21.58728985965443</v>
      </c>
      <c r="F7" s="23">
        <f t="shared" si="0"/>
        <v>20712.37235056506</v>
      </c>
      <c r="G7" s="23">
        <f t="shared" ref="G7" si="5">(F7-F6)/F6*100</f>
        <v>0.69127254576303776</v>
      </c>
      <c r="H7" s="14">
        <v>3601404000</v>
      </c>
      <c r="I7" s="16">
        <f t="shared" si="1"/>
        <v>0.12671605296156721</v>
      </c>
      <c r="S7" s="23"/>
    </row>
    <row r="8" spans="1:27" x14ac:dyDescent="0.35">
      <c r="A8" s="22">
        <v>2009</v>
      </c>
      <c r="B8" s="23">
        <f>174537/1000</f>
        <v>174.53700000000001</v>
      </c>
      <c r="C8" s="23">
        <f t="shared" si="2"/>
        <v>-20.783824263604593</v>
      </c>
      <c r="D8" s="23">
        <v>3165834</v>
      </c>
      <c r="E8" s="23">
        <f t="shared" si="2"/>
        <v>-30.627929047451364</v>
      </c>
      <c r="F8" s="23">
        <f t="shared" si="0"/>
        <v>18138.469207102218</v>
      </c>
      <c r="G8" s="23">
        <f t="shared" ref="G8" si="6">(F8-F7)/F7*100</f>
        <v>-12.426887175928073</v>
      </c>
      <c r="H8" s="14">
        <v>3022159000</v>
      </c>
      <c r="I8" s="16">
        <f t="shared" si="1"/>
        <v>0.10475405165644826</v>
      </c>
      <c r="S8" s="23"/>
    </row>
    <row r="9" spans="1:27" x14ac:dyDescent="0.35">
      <c r="A9" s="22">
        <v>2010</v>
      </c>
      <c r="B9" s="23">
        <f>149488/1000</f>
        <v>149.488</v>
      </c>
      <c r="C9" s="23">
        <f t="shared" si="2"/>
        <v>-14.351684743063078</v>
      </c>
      <c r="D9" s="23">
        <v>2672960</v>
      </c>
      <c r="E9" s="23">
        <f t="shared" si="2"/>
        <v>-15.568535810784773</v>
      </c>
      <c r="F9" s="23">
        <f t="shared" si="0"/>
        <v>17880.766349138394</v>
      </c>
      <c r="G9" s="23">
        <f t="shared" ref="G9" si="7">(F9-F8)/F8*100</f>
        <v>-1.4207530691890995</v>
      </c>
      <c r="H9" s="14">
        <v>3464614000</v>
      </c>
      <c r="I9" s="16">
        <f t="shared" si="1"/>
        <v>7.7150297262552181E-2</v>
      </c>
      <c r="S9" s="23"/>
    </row>
    <row r="10" spans="1:27" x14ac:dyDescent="0.35">
      <c r="A10" s="22">
        <v>2011</v>
      </c>
      <c r="B10" s="23">
        <f>268882/1000</f>
        <v>268.88200000000001</v>
      </c>
      <c r="C10" s="23">
        <f t="shared" si="2"/>
        <v>79.868618216846841</v>
      </c>
      <c r="D10" s="23">
        <v>4529371</v>
      </c>
      <c r="E10" s="23">
        <f t="shared" si="2"/>
        <v>69.451506943613069</v>
      </c>
      <c r="F10" s="23">
        <f t="shared" si="0"/>
        <v>16845.199753051525</v>
      </c>
      <c r="G10" s="23">
        <f t="shared" ref="G10" si="8">(F10-F9)/F9*100</f>
        <v>-5.7915112577754151</v>
      </c>
      <c r="H10" s="14">
        <v>3913571000</v>
      </c>
      <c r="I10" s="16">
        <f t="shared" si="1"/>
        <v>0.11573498985964481</v>
      </c>
      <c r="S10" s="23"/>
    </row>
    <row r="11" spans="1:27" x14ac:dyDescent="0.35">
      <c r="A11" s="22">
        <v>2012</v>
      </c>
      <c r="B11" s="23">
        <f>253344/1000</f>
        <v>253.34399999999999</v>
      </c>
      <c r="C11" s="23">
        <f t="shared" si="2"/>
        <v>-5.7787430917651648</v>
      </c>
      <c r="D11" s="23">
        <v>4603213</v>
      </c>
      <c r="E11" s="23">
        <f t="shared" si="2"/>
        <v>1.6302925947112745</v>
      </c>
      <c r="F11" s="23">
        <f t="shared" si="0"/>
        <v>18169.812586838449</v>
      </c>
      <c r="G11" s="23">
        <f t="shared" ref="G11" si="9">(F11-F10)/F10*100</f>
        <v>7.8634439080900078</v>
      </c>
      <c r="H11" s="14">
        <v>4030678000</v>
      </c>
      <c r="I11" s="16">
        <f t="shared" si="1"/>
        <v>0.11420443409272585</v>
      </c>
      <c r="S11" s="23"/>
    </row>
    <row r="12" spans="1:27" x14ac:dyDescent="0.35">
      <c r="A12" s="22">
        <v>2013</v>
      </c>
      <c r="B12" s="23">
        <f>328031/1000</f>
        <v>328.03100000000001</v>
      </c>
      <c r="C12" s="23">
        <f t="shared" si="2"/>
        <v>29.480469243400282</v>
      </c>
      <c r="D12" s="23">
        <v>6661271</v>
      </c>
      <c r="E12" s="23">
        <f t="shared" si="2"/>
        <v>44.709162925982355</v>
      </c>
      <c r="F12" s="23">
        <f t="shared" si="0"/>
        <v>20306.833805341568</v>
      </c>
      <c r="G12" s="23">
        <f t="shared" ref="G12" si="10">(F12-F11)/F11*100</f>
        <v>11.761382833695819</v>
      </c>
      <c r="H12" s="14">
        <v>5198924000</v>
      </c>
      <c r="I12" s="16">
        <f t="shared" si="1"/>
        <v>0.12812787799937064</v>
      </c>
      <c r="S12" s="23"/>
    </row>
    <row r="13" spans="1:27" x14ac:dyDescent="0.35">
      <c r="A13" s="22">
        <v>2014</v>
      </c>
      <c r="B13" s="23">
        <f>139648/1000</f>
        <v>139.648</v>
      </c>
      <c r="C13" s="23">
        <f t="shared" si="2"/>
        <v>-57.428413777966114</v>
      </c>
      <c r="D13" s="23">
        <v>3411244</v>
      </c>
      <c r="E13" s="23">
        <f t="shared" si="2"/>
        <v>-48.789893099980468</v>
      </c>
      <c r="F13" s="23">
        <f t="shared" si="0"/>
        <v>24427.446150320808</v>
      </c>
      <c r="G13" s="23">
        <f t="shared" ref="G13" si="11">(F13-F12)/F12*100</f>
        <v>20.291751951480204</v>
      </c>
      <c r="H13" s="14">
        <v>5012583000</v>
      </c>
      <c r="I13" s="16">
        <f t="shared" si="1"/>
        <v>6.8053616269296693E-2</v>
      </c>
      <c r="S13" s="23"/>
    </row>
    <row r="14" spans="1:27" x14ac:dyDescent="0.35">
      <c r="A14" s="22">
        <v>2015</v>
      </c>
      <c r="B14" s="23">
        <f>72645/1000</f>
        <v>72.644999999999996</v>
      </c>
      <c r="C14" s="23">
        <f t="shared" si="2"/>
        <v>-47.979920944087993</v>
      </c>
      <c r="D14" s="23">
        <v>2284381</v>
      </c>
      <c r="E14" s="23">
        <f t="shared" si="2"/>
        <v>-33.033784742457591</v>
      </c>
      <c r="F14" s="23">
        <f t="shared" si="0"/>
        <v>31445.811824626609</v>
      </c>
      <c r="G14" s="23">
        <f t="shared" ref="G14" si="12">(F14-F13)/F13*100</f>
        <v>28.731475370435433</v>
      </c>
      <c r="H14" s="15">
        <v>4756824000</v>
      </c>
      <c r="I14" s="16">
        <f t="shared" si="1"/>
        <v>4.8023239876018115E-2</v>
      </c>
      <c r="S14" s="23"/>
    </row>
    <row r="15" spans="1:27" x14ac:dyDescent="0.35">
      <c r="A15" s="22">
        <v>2016</v>
      </c>
      <c r="B15" s="23">
        <f>94265/1000</f>
        <v>94.265000000000001</v>
      </c>
      <c r="C15" s="23">
        <f t="shared" si="2"/>
        <v>29.761167320531356</v>
      </c>
      <c r="D15" s="23">
        <v>3698935</v>
      </c>
      <c r="E15" s="23">
        <f t="shared" si="2"/>
        <v>61.922857877035398</v>
      </c>
      <c r="F15" s="23">
        <f t="shared" si="0"/>
        <v>39239.749641966795</v>
      </c>
      <c r="G15" s="23">
        <f t="shared" ref="G15" si="13">(F15-F14)/F14*100</f>
        <v>24.78529688089149</v>
      </c>
      <c r="H15" s="15">
        <v>4820066303</v>
      </c>
      <c r="I15" s="16">
        <f t="shared" si="1"/>
        <v>7.6740334416101078E-2</v>
      </c>
      <c r="S15" s="23"/>
    </row>
    <row r="16" spans="1:27" x14ac:dyDescent="0.35">
      <c r="A16" s="22">
        <v>2017</v>
      </c>
      <c r="B16" s="23">
        <f>124012/1000</f>
        <v>124.012</v>
      </c>
      <c r="C16" s="23">
        <f t="shared" si="2"/>
        <v>31.556781414098552</v>
      </c>
      <c r="D16" s="23">
        <v>8651799</v>
      </c>
      <c r="E16" s="23">
        <f t="shared" si="2"/>
        <v>133.89973059813164</v>
      </c>
      <c r="F16" s="23">
        <f t="shared" si="0"/>
        <v>69765.821049575854</v>
      </c>
      <c r="G16" s="23">
        <f t="shared" ref="G16" si="14">(F16-F15)/F15*100</f>
        <v>77.793746611883364</v>
      </c>
      <c r="H16" s="15">
        <v>4972360580</v>
      </c>
      <c r="I16" s="16">
        <f t="shared" si="1"/>
        <v>0.1739978197639078</v>
      </c>
      <c r="S16" s="23"/>
    </row>
    <row r="17" spans="1:19" x14ac:dyDescent="0.35">
      <c r="A17" s="22">
        <v>2018</v>
      </c>
      <c r="B17" s="23">
        <f>169902/1000</f>
        <v>169.90199999999999</v>
      </c>
      <c r="C17" s="23">
        <f t="shared" si="2"/>
        <v>37.004483437086719</v>
      </c>
      <c r="D17" s="23">
        <v>15239178</v>
      </c>
      <c r="E17" s="23">
        <f t="shared" si="2"/>
        <v>76.138835402902913</v>
      </c>
      <c r="F17" s="23">
        <f t="shared" si="0"/>
        <v>89693.929441678149</v>
      </c>
      <c r="G17" s="23">
        <f t="shared" ref="G17" si="15">(F17-F16)/F16*100</f>
        <v>28.564285623387569</v>
      </c>
      <c r="H17" s="15">
        <v>5696683662</v>
      </c>
      <c r="I17" s="16">
        <f t="shared" si="1"/>
        <v>0.267509640769658</v>
      </c>
      <c r="L17" s="33"/>
      <c r="M17" s="33"/>
      <c r="N17" s="33"/>
      <c r="O17" s="33"/>
      <c r="P17" s="33"/>
      <c r="S17" s="23"/>
    </row>
    <row r="18" spans="1:19" x14ac:dyDescent="0.35">
      <c r="A18" s="22">
        <v>2019</v>
      </c>
      <c r="B18" s="23">
        <f>328422/1000</f>
        <v>328.42200000000003</v>
      </c>
      <c r="C18" s="23">
        <f t="shared" si="2"/>
        <v>93.30084401596217</v>
      </c>
      <c r="D18" s="23">
        <v>20734633</v>
      </c>
      <c r="E18" s="23">
        <f t="shared" si="2"/>
        <v>36.061361052413723</v>
      </c>
      <c r="F18" s="23">
        <f t="shared" si="0"/>
        <v>63134.117081072516</v>
      </c>
      <c r="G18" s="23">
        <f t="shared" ref="G18" si="16">(F18-F17)/F17*100</f>
        <v>-29.611605295847436</v>
      </c>
      <c r="H18" s="15">
        <v>6008529782</v>
      </c>
      <c r="I18" s="16">
        <f t="shared" si="1"/>
        <v>0.34508663104434623</v>
      </c>
      <c r="L18" s="33"/>
      <c r="M18" s="33"/>
      <c r="N18" s="33"/>
      <c r="O18" s="33"/>
      <c r="P18" s="33"/>
      <c r="S18" s="23"/>
    </row>
    <row r="19" spans="1:19" s="86" customFormat="1" x14ac:dyDescent="0.35">
      <c r="A19" s="84">
        <v>2020</v>
      </c>
      <c r="B19" s="85">
        <v>266.27</v>
      </c>
      <c r="C19" s="85">
        <v>-18.924432589777798</v>
      </c>
      <c r="D19" s="85">
        <v>18226108</v>
      </c>
      <c r="E19" s="85">
        <v>-12.09823680023659</v>
      </c>
      <c r="F19" s="85">
        <v>68449.723964397039</v>
      </c>
      <c r="G19" s="85">
        <v>8.4195473526597091</v>
      </c>
      <c r="H19" s="82">
        <v>3753224444</v>
      </c>
      <c r="I19" s="83">
        <f t="shared" si="1"/>
        <v>0.4856119923533142</v>
      </c>
      <c r="L19" s="75"/>
      <c r="M19" s="75"/>
      <c r="N19" s="75"/>
      <c r="O19" s="75"/>
      <c r="P19" s="75"/>
      <c r="S19" s="85"/>
    </row>
    <row r="20" spans="1:19" s="86" customFormat="1" x14ac:dyDescent="0.35">
      <c r="A20" s="84">
        <v>2021</v>
      </c>
      <c r="B20" s="85">
        <v>205.042</v>
      </c>
      <c r="C20" s="85">
        <v>-22.994704623126896</v>
      </c>
      <c r="D20" s="85">
        <v>15218508</v>
      </c>
      <c r="E20" s="85">
        <v>-16.50160308498117</v>
      </c>
      <c r="F20" s="85">
        <v>74221.418050935899</v>
      </c>
      <c r="G20" s="85">
        <v>8.4320195206936255</v>
      </c>
      <c r="H20" s="82">
        <v>4484914875</v>
      </c>
      <c r="I20" s="83">
        <f t="shared" si="1"/>
        <v>0.33932657417494461</v>
      </c>
      <c r="L20" s="75"/>
      <c r="M20" s="75"/>
      <c r="N20" s="75"/>
      <c r="O20" s="75"/>
      <c r="P20" s="75"/>
      <c r="S20" s="85"/>
    </row>
    <row r="21" spans="1:19" x14ac:dyDescent="0.35">
      <c r="L21" s="33"/>
      <c r="M21" s="33"/>
      <c r="N21" s="33"/>
      <c r="O21" s="33"/>
      <c r="P21" s="33"/>
    </row>
    <row r="22" spans="1:19" x14ac:dyDescent="0.35">
      <c r="A22" s="18" t="s">
        <v>48</v>
      </c>
    </row>
  </sheetData>
  <mergeCells count="3">
    <mergeCell ref="B2:I2"/>
    <mergeCell ref="A1:I1"/>
    <mergeCell ref="S5:AA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080A0-AB87-4573-B43D-6040AB6E6BBA}">
  <sheetPr>
    <tabColor rgb="FF00B050"/>
  </sheetPr>
  <dimension ref="A1:I22"/>
  <sheetViews>
    <sheetView zoomScale="130" zoomScaleNormal="130" workbookViewId="0">
      <pane ySplit="3" topLeftCell="A13" activePane="bottomLeft" state="frozen"/>
      <selection pane="bottomLeft" activeCell="A19" sqref="A19:XFD20"/>
    </sheetView>
  </sheetViews>
  <sheetFormatPr defaultColWidth="8.90625" defaultRowHeight="14.5" x14ac:dyDescent="0.35"/>
  <cols>
    <col min="1" max="2" width="8.90625" style="28"/>
    <col min="3" max="3" width="12.36328125" style="28" customWidth="1"/>
    <col min="4" max="4" width="9.90625" style="28" bestFit="1" customWidth="1"/>
    <col min="5" max="5" width="9.90625" style="28" customWidth="1"/>
    <col min="6" max="6" width="8.90625" style="28"/>
    <col min="7" max="7" width="13.81640625" style="28" customWidth="1"/>
    <col min="8" max="9" width="14.08984375" style="28" customWidth="1"/>
    <col min="10" max="16384" width="8.90625" style="28"/>
  </cols>
  <sheetData>
    <row r="1" spans="1:9" s="49" customFormat="1" ht="18.5" x14ac:dyDescent="0.45">
      <c r="A1" s="39" t="s">
        <v>44</v>
      </c>
      <c r="B1" s="38"/>
      <c r="C1" s="50"/>
      <c r="D1" s="50"/>
      <c r="E1" s="50"/>
      <c r="F1" s="50"/>
      <c r="G1" s="50"/>
      <c r="H1" s="50"/>
      <c r="I1" s="51"/>
    </row>
    <row r="2" spans="1:9" x14ac:dyDescent="0.35">
      <c r="A2" s="109" t="s">
        <v>1</v>
      </c>
      <c r="B2" s="110"/>
      <c r="C2" s="110"/>
      <c r="D2" s="110"/>
      <c r="E2" s="110"/>
      <c r="F2" s="110"/>
      <c r="G2" s="110"/>
      <c r="H2" s="110"/>
      <c r="I2" s="110"/>
    </row>
    <row r="3" spans="1:9" ht="40.25" customHeight="1" x14ac:dyDescent="0.35">
      <c r="A3" s="25" t="s">
        <v>19</v>
      </c>
      <c r="B3" s="21" t="s">
        <v>3</v>
      </c>
      <c r="C3" s="21" t="s">
        <v>18</v>
      </c>
      <c r="D3" s="21" t="s">
        <v>57</v>
      </c>
      <c r="E3" s="21" t="s">
        <v>21</v>
      </c>
      <c r="F3" s="21" t="s">
        <v>15</v>
      </c>
      <c r="G3" s="21" t="s">
        <v>23</v>
      </c>
      <c r="H3" s="21" t="s">
        <v>24</v>
      </c>
      <c r="I3" s="21" t="s">
        <v>25</v>
      </c>
    </row>
    <row r="4" spans="1:9" x14ac:dyDescent="0.35">
      <c r="A4" s="22">
        <v>2005</v>
      </c>
      <c r="B4" s="23">
        <f>122619/1000</f>
        <v>122.619</v>
      </c>
      <c r="C4" s="23"/>
      <c r="D4" s="23">
        <v>2553666</v>
      </c>
      <c r="E4" s="23"/>
      <c r="F4" s="23">
        <f t="shared" ref="F4:F18" si="0">(D4/B4)</f>
        <v>20826.022068358085</v>
      </c>
      <c r="G4" s="23"/>
      <c r="H4" s="27">
        <v>1192579000</v>
      </c>
      <c r="I4" s="16">
        <f t="shared" ref="I4:I20" si="1">D4/H4*100</f>
        <v>0.21412971383866392</v>
      </c>
    </row>
    <row r="5" spans="1:9" x14ac:dyDescent="0.35">
      <c r="A5" s="22">
        <v>2006</v>
      </c>
      <c r="B5" s="23">
        <f>183422/1000</f>
        <v>183.422</v>
      </c>
      <c r="C5" s="23">
        <f t="shared" ref="C5:C20" si="2">(B5-B4)/B4*100</f>
        <v>49.586931878420145</v>
      </c>
      <c r="D5" s="23">
        <v>3674216</v>
      </c>
      <c r="E5" s="23">
        <f t="shared" ref="E5:E20" si="3">(D5-D4)/D4*100</f>
        <v>43.880053225441387</v>
      </c>
      <c r="F5" s="23">
        <f t="shared" si="0"/>
        <v>20031.490224727677</v>
      </c>
      <c r="G5" s="23">
        <f t="shared" ref="G5:G18" si="4">(F5-F4)/F4*100</f>
        <v>-3.8150917204566683</v>
      </c>
      <c r="H5" s="27">
        <v>1201573000</v>
      </c>
      <c r="I5" s="16">
        <f t="shared" si="1"/>
        <v>0.30578383502292411</v>
      </c>
    </row>
    <row r="6" spans="1:9" x14ac:dyDescent="0.35">
      <c r="A6" s="22">
        <v>2007</v>
      </c>
      <c r="B6" s="23">
        <f>174162/1000</f>
        <v>174.16200000000001</v>
      </c>
      <c r="C6" s="23">
        <f t="shared" si="2"/>
        <v>-5.0484674684607027</v>
      </c>
      <c r="D6" s="23">
        <v>4153246</v>
      </c>
      <c r="E6" s="23">
        <f t="shared" si="3"/>
        <v>13.037611289047785</v>
      </c>
      <c r="F6" s="23">
        <f t="shared" si="0"/>
        <v>23847.027480162145</v>
      </c>
      <c r="G6" s="23">
        <f t="shared" si="4"/>
        <v>19.047695466632909</v>
      </c>
      <c r="H6" s="27">
        <v>1209811000</v>
      </c>
      <c r="I6" s="16">
        <f t="shared" si="1"/>
        <v>0.34329709351295368</v>
      </c>
    </row>
    <row r="7" spans="1:9" x14ac:dyDescent="0.35">
      <c r="A7" s="22">
        <v>2008</v>
      </c>
      <c r="B7" s="23">
        <f>184276/1000</f>
        <v>184.27600000000001</v>
      </c>
      <c r="C7" s="23">
        <f t="shared" si="2"/>
        <v>5.8072369403199344</v>
      </c>
      <c r="D7" s="23">
        <v>4750661</v>
      </c>
      <c r="E7" s="23">
        <f t="shared" si="3"/>
        <v>14.384291226669454</v>
      </c>
      <c r="F7" s="23">
        <f t="shared" si="0"/>
        <v>25780.13957324882</v>
      </c>
      <c r="G7" s="23">
        <f t="shared" si="4"/>
        <v>8.1063021154095249</v>
      </c>
      <c r="H7" s="27">
        <v>1471028000</v>
      </c>
      <c r="I7" s="16">
        <f t="shared" si="1"/>
        <v>0.32294837351838307</v>
      </c>
    </row>
    <row r="8" spans="1:9" x14ac:dyDescent="0.35">
      <c r="A8" s="22">
        <v>2009</v>
      </c>
      <c r="B8" s="23">
        <f>223937/1000</f>
        <v>223.93700000000001</v>
      </c>
      <c r="C8" s="23">
        <f t="shared" si="2"/>
        <v>21.522607393257939</v>
      </c>
      <c r="D8" s="23">
        <v>4180686</v>
      </c>
      <c r="E8" s="23">
        <f t="shared" si="3"/>
        <v>-11.997804095051194</v>
      </c>
      <c r="F8" s="23">
        <f t="shared" si="0"/>
        <v>18669.027449684509</v>
      </c>
      <c r="G8" s="23">
        <f t="shared" si="4"/>
        <v>-27.583683569127267</v>
      </c>
      <c r="H8" s="27">
        <v>1310259000</v>
      </c>
      <c r="I8" s="16">
        <f t="shared" si="1"/>
        <v>0.31907325192958036</v>
      </c>
    </row>
    <row r="9" spans="1:9" x14ac:dyDescent="0.35">
      <c r="A9" s="22">
        <v>2010</v>
      </c>
      <c r="B9" s="23">
        <f>243560/1000</f>
        <v>243.56</v>
      </c>
      <c r="C9" s="23">
        <f t="shared" si="2"/>
        <v>8.7627323756234965</v>
      </c>
      <c r="D9" s="23">
        <v>3900666</v>
      </c>
      <c r="E9" s="23">
        <f t="shared" si="3"/>
        <v>-6.6979438302709182</v>
      </c>
      <c r="F9" s="23">
        <f t="shared" si="0"/>
        <v>16015.215963212349</v>
      </c>
      <c r="G9" s="23">
        <f t="shared" si="4"/>
        <v>-14.215049464277296</v>
      </c>
      <c r="H9" s="27">
        <v>1605383000</v>
      </c>
      <c r="I9" s="16">
        <f t="shared" si="1"/>
        <v>0.24297416878090775</v>
      </c>
    </row>
    <row r="10" spans="1:9" x14ac:dyDescent="0.35">
      <c r="A10" s="22">
        <v>2011</v>
      </c>
      <c r="B10" s="23">
        <f>295542/1000</f>
        <v>295.54199999999997</v>
      </c>
      <c r="C10" s="23">
        <f t="shared" si="2"/>
        <v>21.342584989325001</v>
      </c>
      <c r="D10" s="23">
        <v>5700409</v>
      </c>
      <c r="E10" s="23">
        <f t="shared" si="3"/>
        <v>46.139377224299643</v>
      </c>
      <c r="F10" s="23">
        <f t="shared" si="0"/>
        <v>19287.982757103899</v>
      </c>
      <c r="G10" s="23">
        <f t="shared" si="4"/>
        <v>20.435358482890507</v>
      </c>
      <c r="H10" s="27">
        <v>1924848000</v>
      </c>
      <c r="I10" s="16">
        <f t="shared" si="1"/>
        <v>0.2961485270525257</v>
      </c>
    </row>
    <row r="11" spans="1:9" x14ac:dyDescent="0.35">
      <c r="A11" s="22">
        <v>2012</v>
      </c>
      <c r="B11" s="23">
        <f>299756/1000</f>
        <v>299.75599999999997</v>
      </c>
      <c r="C11" s="23">
        <f t="shared" si="2"/>
        <v>1.4258548700353924</v>
      </c>
      <c r="D11" s="23">
        <v>6636133</v>
      </c>
      <c r="E11" s="23">
        <f t="shared" si="3"/>
        <v>16.415032675725548</v>
      </c>
      <c r="F11" s="23">
        <f t="shared" si="0"/>
        <v>22138.449272074624</v>
      </c>
      <c r="G11" s="23">
        <f t="shared" si="4"/>
        <v>14.778458436359182</v>
      </c>
      <c r="H11" s="27">
        <v>2181741000</v>
      </c>
      <c r="I11" s="16">
        <f t="shared" si="1"/>
        <v>0.304166855735855</v>
      </c>
    </row>
    <row r="12" spans="1:9" x14ac:dyDescent="0.35">
      <c r="A12" s="22">
        <v>2013</v>
      </c>
      <c r="B12" s="23">
        <f>137466/1000</f>
        <v>137.46600000000001</v>
      </c>
      <c r="C12" s="23">
        <f t="shared" si="2"/>
        <v>-54.140701103564226</v>
      </c>
      <c r="D12" s="23">
        <v>6601761</v>
      </c>
      <c r="E12" s="23">
        <f t="shared" si="3"/>
        <v>-0.51795224718974142</v>
      </c>
      <c r="F12" s="23">
        <f t="shared" si="0"/>
        <v>48024.682466937273</v>
      </c>
      <c r="G12" s="23">
        <f t="shared" si="4"/>
        <v>116.92884572324344</v>
      </c>
      <c r="H12" s="27">
        <v>2119726000</v>
      </c>
      <c r="I12" s="16">
        <f t="shared" si="1"/>
        <v>0.31144407343213226</v>
      </c>
    </row>
    <row r="13" spans="1:9" x14ac:dyDescent="0.35">
      <c r="A13" s="22">
        <v>2014</v>
      </c>
      <c r="B13" s="23">
        <f>213962/1000</f>
        <v>213.96199999999999</v>
      </c>
      <c r="C13" s="23">
        <f t="shared" si="2"/>
        <v>55.647214583969841</v>
      </c>
      <c r="D13" s="23">
        <v>7574259</v>
      </c>
      <c r="E13" s="23">
        <f t="shared" si="3"/>
        <v>14.730887713141993</v>
      </c>
      <c r="F13" s="23">
        <f t="shared" si="0"/>
        <v>35400.019629653863</v>
      </c>
      <c r="G13" s="23">
        <f t="shared" si="4"/>
        <v>-26.287863216950768</v>
      </c>
      <c r="H13" s="71">
        <v>2302158000</v>
      </c>
      <c r="I13" s="16">
        <f t="shared" si="1"/>
        <v>0.32900691438207108</v>
      </c>
    </row>
    <row r="14" spans="1:9" x14ac:dyDescent="0.35">
      <c r="A14" s="22">
        <v>2015</v>
      </c>
      <c r="B14" s="23">
        <f>160165/1000</f>
        <v>160.16499999999999</v>
      </c>
      <c r="C14" s="23">
        <f t="shared" si="2"/>
        <v>-25.143249735934418</v>
      </c>
      <c r="D14" s="23">
        <v>8864530</v>
      </c>
      <c r="E14" s="23">
        <f t="shared" si="3"/>
        <v>17.03494691691953</v>
      </c>
      <c r="F14" s="23">
        <f t="shared" si="0"/>
        <v>55346.236693409926</v>
      </c>
      <c r="G14" s="23">
        <f t="shared" si="4"/>
        <v>56.345214698828947</v>
      </c>
      <c r="H14" s="72">
        <v>2059222000</v>
      </c>
      <c r="I14" s="16">
        <f t="shared" si="1"/>
        <v>0.43047956946846921</v>
      </c>
    </row>
    <row r="15" spans="1:9" x14ac:dyDescent="0.35">
      <c r="A15" s="22">
        <v>2016</v>
      </c>
      <c r="B15" s="23">
        <f>258665/1000</f>
        <v>258.66500000000002</v>
      </c>
      <c r="C15" s="23">
        <f t="shared" si="2"/>
        <v>61.499079074704234</v>
      </c>
      <c r="D15" s="23">
        <v>14138312</v>
      </c>
      <c r="E15" s="23">
        <f t="shared" si="3"/>
        <v>59.493080851438265</v>
      </c>
      <c r="F15" s="23">
        <f t="shared" si="0"/>
        <v>54658.774863240091</v>
      </c>
      <c r="G15" s="23">
        <f t="shared" si="4"/>
        <v>-1.2421112459335317</v>
      </c>
      <c r="H15" s="72">
        <v>1930859146</v>
      </c>
      <c r="I15" s="16">
        <f t="shared" si="1"/>
        <v>0.73222907166942564</v>
      </c>
    </row>
    <row r="16" spans="1:9" x14ac:dyDescent="0.35">
      <c r="A16" s="22">
        <v>2017</v>
      </c>
      <c r="B16" s="23">
        <f>311274/1000</f>
        <v>311.274</v>
      </c>
      <c r="C16" s="23">
        <f t="shared" si="2"/>
        <v>20.338661975914786</v>
      </c>
      <c r="D16" s="23">
        <v>19658137</v>
      </c>
      <c r="E16" s="23">
        <f t="shared" si="3"/>
        <v>39.041612605521792</v>
      </c>
      <c r="F16" s="23">
        <f t="shared" si="0"/>
        <v>63153.803401504782</v>
      </c>
      <c r="G16" s="23">
        <f t="shared" si="4"/>
        <v>15.541930018592293</v>
      </c>
      <c r="H16" s="72">
        <v>2039324779</v>
      </c>
      <c r="I16" s="16">
        <f t="shared" si="1"/>
        <v>0.96395322620654533</v>
      </c>
    </row>
    <row r="17" spans="1:9" x14ac:dyDescent="0.35">
      <c r="A17" s="22">
        <v>2018</v>
      </c>
      <c r="B17" s="23">
        <f>284245/1000</f>
        <v>284.245</v>
      </c>
      <c r="C17" s="23">
        <f t="shared" si="2"/>
        <v>-8.6833465050084477</v>
      </c>
      <c r="D17" s="23">
        <v>30807017</v>
      </c>
      <c r="E17" s="23">
        <f t="shared" si="3"/>
        <v>56.713817794636391</v>
      </c>
      <c r="F17" s="23">
        <f t="shared" si="0"/>
        <v>108381.91349012296</v>
      </c>
      <c r="G17" s="23">
        <f t="shared" si="4"/>
        <v>71.615813541865819</v>
      </c>
      <c r="H17" s="72">
        <v>2101986862</v>
      </c>
      <c r="I17" s="16">
        <f t="shared" si="1"/>
        <v>1.4656141556797226</v>
      </c>
    </row>
    <row r="18" spans="1:9" x14ac:dyDescent="0.35">
      <c r="A18" s="22">
        <v>2019</v>
      </c>
      <c r="B18" s="23">
        <f>328371/1000</f>
        <v>328.37099999999998</v>
      </c>
      <c r="C18" s="23">
        <f t="shared" si="2"/>
        <v>15.52393181938116</v>
      </c>
      <c r="D18" s="23">
        <v>32454630</v>
      </c>
      <c r="E18" s="23">
        <f t="shared" si="3"/>
        <v>5.3481744110440816</v>
      </c>
      <c r="F18" s="23">
        <f t="shared" si="0"/>
        <v>98835.250372292328</v>
      </c>
      <c r="G18" s="23">
        <f t="shared" si="4"/>
        <v>-8.8083544665417186</v>
      </c>
      <c r="H18" s="72">
        <v>2218698815</v>
      </c>
      <c r="I18" s="16">
        <f t="shared" si="1"/>
        <v>1.462777632573802</v>
      </c>
    </row>
    <row r="19" spans="1:9" s="94" customFormat="1" x14ac:dyDescent="0.35">
      <c r="A19" s="92">
        <v>2020</v>
      </c>
      <c r="B19" s="93">
        <v>478.38400000000001</v>
      </c>
      <c r="C19" s="93">
        <f t="shared" si="2"/>
        <v>45.683997673363372</v>
      </c>
      <c r="D19" s="93">
        <v>43582132</v>
      </c>
      <c r="E19" s="93">
        <f t="shared" si="3"/>
        <v>34.286331410957388</v>
      </c>
      <c r="F19" s="93">
        <f t="shared" ref="F19:F20" si="5">(D19/B19)</f>
        <v>91102.82116458744</v>
      </c>
      <c r="G19" s="93">
        <f t="shared" ref="G19:G20" si="6">(F19-F18)/F18*100</f>
        <v>-7.823554024073796</v>
      </c>
      <c r="H19" s="74">
        <v>1143125430</v>
      </c>
      <c r="I19" s="89">
        <f t="shared" si="1"/>
        <v>3.812541551105201</v>
      </c>
    </row>
    <row r="20" spans="1:9" s="94" customFormat="1" x14ac:dyDescent="0.35">
      <c r="A20" s="92">
        <v>2021</v>
      </c>
      <c r="B20" s="93">
        <v>552.36199999999997</v>
      </c>
      <c r="C20" s="93">
        <f t="shared" si="2"/>
        <v>15.464145958058786</v>
      </c>
      <c r="D20" s="93">
        <v>41920575</v>
      </c>
      <c r="E20" s="93">
        <f t="shared" si="3"/>
        <v>-3.8124729648379754</v>
      </c>
      <c r="F20" s="93">
        <f t="shared" si="5"/>
        <v>75893.300045984346</v>
      </c>
      <c r="G20" s="93">
        <f t="shared" si="6"/>
        <v>-16.694895859619312</v>
      </c>
      <c r="H20" s="74">
        <v>1251452028</v>
      </c>
      <c r="I20" s="89">
        <f t="shared" si="1"/>
        <v>3.3497548497320424</v>
      </c>
    </row>
    <row r="22" spans="1:9" x14ac:dyDescent="0.35">
      <c r="A22" s="18" t="s">
        <v>48</v>
      </c>
    </row>
  </sheetData>
  <mergeCells count="1">
    <mergeCell ref="A2:I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277436-710C-4506-8E2E-92318566D012}">
  <sheetPr>
    <tabColor rgb="FF00B050"/>
  </sheetPr>
  <dimension ref="A1:G23"/>
  <sheetViews>
    <sheetView zoomScale="120" zoomScaleNormal="120" workbookViewId="0">
      <pane ySplit="3" topLeftCell="A7" activePane="bottomLeft" state="frozen"/>
      <selection pane="bottomLeft" activeCell="D29" sqref="D29"/>
    </sheetView>
  </sheetViews>
  <sheetFormatPr defaultColWidth="8.90625" defaultRowHeight="14.5" x14ac:dyDescent="0.35"/>
  <cols>
    <col min="1" max="1" width="6.08984375" style="18" customWidth="1"/>
    <col min="2" max="2" width="19.7265625" style="18" customWidth="1"/>
    <col min="3" max="3" width="19.90625" style="18" customWidth="1"/>
    <col min="4" max="4" width="13.81640625" style="18" customWidth="1"/>
    <col min="5" max="16384" width="8.90625" style="18"/>
  </cols>
  <sheetData>
    <row r="1" spans="1:7" s="10" customFormat="1" ht="25.75" customHeight="1" x14ac:dyDescent="0.6">
      <c r="A1" s="108" t="s">
        <v>45</v>
      </c>
      <c r="B1" s="108"/>
      <c r="C1" s="108"/>
      <c r="D1" s="108"/>
      <c r="E1" s="59"/>
      <c r="F1" s="59"/>
      <c r="G1" s="59"/>
    </row>
    <row r="2" spans="1:7" s="13" customFormat="1" ht="13" x14ac:dyDescent="0.3">
      <c r="A2" s="111" t="s">
        <v>4</v>
      </c>
      <c r="B2" s="107"/>
      <c r="C2" s="107"/>
    </row>
    <row r="3" spans="1:7" s="13" customFormat="1" ht="26" x14ac:dyDescent="0.45">
      <c r="A3" s="111"/>
      <c r="B3" s="60" t="s">
        <v>38</v>
      </c>
      <c r="C3" s="60" t="s">
        <v>39</v>
      </c>
      <c r="E3" s="39" t="s">
        <v>7</v>
      </c>
    </row>
    <row r="4" spans="1:7" s="22" customFormat="1" ht="13" x14ac:dyDescent="0.3">
      <c r="A4" s="44">
        <v>2005</v>
      </c>
      <c r="B4" s="61">
        <v>0.5</v>
      </c>
      <c r="C4" s="61">
        <v>0.5</v>
      </c>
      <c r="D4" s="22" t="s">
        <v>46</v>
      </c>
    </row>
    <row r="5" spans="1:7" s="22" customFormat="1" ht="13" x14ac:dyDescent="0.3">
      <c r="A5" s="22">
        <v>2006</v>
      </c>
      <c r="B5" s="62">
        <v>0.4</v>
      </c>
      <c r="C5" s="62">
        <v>0.6</v>
      </c>
    </row>
    <row r="6" spans="1:7" s="22" customFormat="1" ht="13" x14ac:dyDescent="0.3">
      <c r="A6" s="22">
        <v>2007</v>
      </c>
      <c r="B6" s="62">
        <v>1</v>
      </c>
      <c r="C6" s="62">
        <v>1.6</v>
      </c>
    </row>
    <row r="7" spans="1:7" s="22" customFormat="1" ht="13" x14ac:dyDescent="0.3">
      <c r="A7" s="44">
        <v>2008</v>
      </c>
      <c r="B7" s="61">
        <v>1</v>
      </c>
      <c r="C7" s="61">
        <v>1</v>
      </c>
      <c r="D7" s="22" t="s">
        <v>46</v>
      </c>
    </row>
    <row r="8" spans="1:7" s="22" customFormat="1" ht="13" x14ac:dyDescent="0.3">
      <c r="A8" s="22">
        <v>2009</v>
      </c>
      <c r="B8" s="62">
        <v>0.8</v>
      </c>
      <c r="C8" s="62">
        <v>0.7</v>
      </c>
    </row>
    <row r="9" spans="1:7" s="22" customFormat="1" ht="13" x14ac:dyDescent="0.3">
      <c r="A9" s="22">
        <v>2010</v>
      </c>
      <c r="B9" s="62">
        <v>0.8</v>
      </c>
      <c r="C9" s="62">
        <v>0.7</v>
      </c>
    </row>
    <row r="10" spans="1:7" s="22" customFormat="1" ht="13" x14ac:dyDescent="0.3">
      <c r="A10" s="44">
        <v>2011</v>
      </c>
      <c r="B10" s="61">
        <v>0.7</v>
      </c>
      <c r="C10" s="61">
        <v>0.7</v>
      </c>
      <c r="D10" s="22" t="s">
        <v>46</v>
      </c>
    </row>
    <row r="11" spans="1:7" s="22" customFormat="1" ht="13" x14ac:dyDescent="0.3">
      <c r="A11" s="22">
        <v>2012</v>
      </c>
      <c r="B11" s="62">
        <v>0.9</v>
      </c>
      <c r="C11" s="62">
        <v>0.9</v>
      </c>
    </row>
    <row r="12" spans="1:7" s="22" customFormat="1" ht="13" x14ac:dyDescent="0.3">
      <c r="A12" s="22">
        <v>2013</v>
      </c>
      <c r="B12" s="62">
        <v>1.1000000000000001</v>
      </c>
      <c r="C12" s="62">
        <v>1</v>
      </c>
    </row>
    <row r="13" spans="1:7" s="22" customFormat="1" ht="13" x14ac:dyDescent="0.3">
      <c r="A13" s="44">
        <v>2014</v>
      </c>
      <c r="B13" s="61">
        <v>0.9</v>
      </c>
      <c r="C13" s="61">
        <v>0.9</v>
      </c>
      <c r="D13" s="22" t="s">
        <v>46</v>
      </c>
    </row>
    <row r="14" spans="1:7" s="22" customFormat="1" ht="13" x14ac:dyDescent="0.3">
      <c r="A14" s="22">
        <v>2015</v>
      </c>
      <c r="B14" s="62">
        <v>1.5</v>
      </c>
      <c r="C14" s="62">
        <v>1.6</v>
      </c>
    </row>
    <row r="15" spans="1:7" s="22" customFormat="1" ht="13" x14ac:dyDescent="0.3">
      <c r="A15" s="22">
        <v>2016</v>
      </c>
      <c r="B15" s="62">
        <v>1.8</v>
      </c>
      <c r="C15" s="62">
        <v>4.4000000000000004</v>
      </c>
      <c r="D15" s="45"/>
    </row>
    <row r="16" spans="1:7" s="22" customFormat="1" ht="13" x14ac:dyDescent="0.3">
      <c r="A16" s="22">
        <v>2017</v>
      </c>
      <c r="B16" s="62">
        <v>2.1</v>
      </c>
      <c r="C16" s="62">
        <v>4.8</v>
      </c>
      <c r="D16" s="45"/>
    </row>
    <row r="17" spans="1:4" s="22" customFormat="1" ht="13.75" customHeight="1" x14ac:dyDescent="0.3">
      <c r="A17" s="22">
        <v>2018</v>
      </c>
      <c r="B17" s="62">
        <v>2.2999999999999998</v>
      </c>
      <c r="C17" s="62">
        <v>5</v>
      </c>
      <c r="D17" s="45"/>
    </row>
    <row r="18" spans="1:4" s="22" customFormat="1" ht="13.75" customHeight="1" x14ac:dyDescent="0.3">
      <c r="A18" s="22">
        <v>2019</v>
      </c>
      <c r="B18" s="62">
        <v>2.6</v>
      </c>
      <c r="C18" s="62">
        <v>6.2</v>
      </c>
      <c r="D18" s="45"/>
    </row>
    <row r="19" spans="1:4" s="92" customFormat="1" ht="13.75" customHeight="1" x14ac:dyDescent="0.3">
      <c r="A19" s="92">
        <v>2020</v>
      </c>
      <c r="B19" s="98">
        <v>3.1</v>
      </c>
      <c r="C19" s="98">
        <v>7.7</v>
      </c>
      <c r="D19" s="95"/>
    </row>
    <row r="20" spans="1:4" s="92" customFormat="1" ht="13.75" customHeight="1" x14ac:dyDescent="0.3">
      <c r="A20" s="92">
        <v>2021</v>
      </c>
      <c r="B20" s="98" t="s">
        <v>66</v>
      </c>
      <c r="C20" s="98" t="s">
        <v>66</v>
      </c>
      <c r="D20" s="95"/>
    </row>
    <row r="21" spans="1:4" s="22" customFormat="1" ht="13.75" customHeight="1" x14ac:dyDescent="0.3">
      <c r="B21" s="63"/>
      <c r="C21" s="63"/>
    </row>
    <row r="22" spans="1:4" s="22" customFormat="1" ht="13.75" customHeight="1" x14ac:dyDescent="0.35">
      <c r="A22" s="18" t="s">
        <v>48</v>
      </c>
    </row>
    <row r="23" spans="1:4" s="22" customFormat="1" ht="13" x14ac:dyDescent="0.3">
      <c r="A23" s="99" t="s">
        <v>66</v>
      </c>
      <c r="B23" s="22" t="s">
        <v>68</v>
      </c>
    </row>
  </sheetData>
  <mergeCells count="3">
    <mergeCell ref="A2:A3"/>
    <mergeCell ref="B2:C2"/>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FCB18-3448-4922-A6CB-5E50BFAA96FA}">
  <sheetPr>
    <tabColor rgb="FF00B0F0"/>
  </sheetPr>
  <dimension ref="A1:I27"/>
  <sheetViews>
    <sheetView topLeftCell="A7" zoomScale="110" zoomScaleNormal="110" workbookViewId="0">
      <selection activeCell="A17" sqref="A17:I17"/>
    </sheetView>
  </sheetViews>
  <sheetFormatPr defaultColWidth="8.90625" defaultRowHeight="14.5" x14ac:dyDescent="0.35"/>
  <cols>
    <col min="1" max="1" width="8.81640625" style="18" customWidth="1"/>
    <col min="2" max="2" width="8.90625" style="18"/>
    <col min="3" max="3" width="12.6328125" style="18" customWidth="1"/>
    <col min="4" max="4" width="10.36328125" style="18" bestFit="1" customWidth="1"/>
    <col min="5" max="5" width="12.81640625" style="18" customWidth="1"/>
    <col min="6" max="6" width="9.90625" style="18" bestFit="1" customWidth="1"/>
    <col min="7" max="7" width="13.81640625" style="18" customWidth="1"/>
    <col min="8" max="8" width="14" style="18" customWidth="1"/>
    <col min="9" max="9" width="13.1796875" style="18" customWidth="1"/>
    <col min="10" max="16384" width="8.90625" style="18"/>
  </cols>
  <sheetData>
    <row r="1" spans="1:9" s="10" customFormat="1" ht="26" x14ac:dyDescent="0.6">
      <c r="A1" s="112" t="s">
        <v>47</v>
      </c>
      <c r="B1" s="113"/>
      <c r="C1" s="113"/>
      <c r="D1" s="113"/>
      <c r="E1" s="113"/>
      <c r="F1" s="113"/>
      <c r="G1" s="113"/>
      <c r="H1" s="113"/>
      <c r="I1" s="113"/>
    </row>
    <row r="2" spans="1:9" s="20" customFormat="1" x14ac:dyDescent="0.35">
      <c r="A2" s="111" t="s">
        <v>4</v>
      </c>
      <c r="B2" s="114" t="s">
        <v>37</v>
      </c>
      <c r="C2" s="114"/>
      <c r="D2" s="114"/>
      <c r="E2" s="114"/>
      <c r="F2" s="114"/>
      <c r="G2" s="114"/>
      <c r="H2" s="115"/>
      <c r="I2" s="115"/>
    </row>
    <row r="3" spans="1:9" s="20" customFormat="1" ht="42" customHeight="1" x14ac:dyDescent="0.35">
      <c r="A3" s="111"/>
      <c r="B3" s="26" t="s">
        <v>3</v>
      </c>
      <c r="C3" s="21" t="s">
        <v>18</v>
      </c>
      <c r="D3" s="26" t="s">
        <v>58</v>
      </c>
      <c r="E3" s="21" t="s">
        <v>21</v>
      </c>
      <c r="F3" s="21" t="s">
        <v>12</v>
      </c>
      <c r="G3" s="21" t="s">
        <v>23</v>
      </c>
      <c r="H3" s="21" t="s">
        <v>34</v>
      </c>
      <c r="I3" s="21" t="s">
        <v>29</v>
      </c>
    </row>
    <row r="4" spans="1:9" x14ac:dyDescent="0.35">
      <c r="A4" s="22">
        <v>2012</v>
      </c>
      <c r="B4" s="40">
        <v>117.753</v>
      </c>
      <c r="C4" s="40"/>
      <c r="D4" s="12">
        <v>2021143</v>
      </c>
      <c r="E4" s="12"/>
      <c r="F4" s="23">
        <f t="shared" ref="F4:F12" si="0">D4/B4</f>
        <v>17164.259084694233</v>
      </c>
      <c r="G4" s="23"/>
      <c r="H4" s="23">
        <v>26757196</v>
      </c>
      <c r="I4" s="23">
        <f>D4/H4*100</f>
        <v>7.553642765856333</v>
      </c>
    </row>
    <row r="5" spans="1:9" x14ac:dyDescent="0.35">
      <c r="A5" s="22">
        <v>2013</v>
      </c>
      <c r="B5" s="40">
        <v>69.225000000000009</v>
      </c>
      <c r="C5" s="40">
        <f>(B5-B4)/B4*100</f>
        <v>-41.211688874168807</v>
      </c>
      <c r="D5" s="12">
        <v>2078617.6999999997</v>
      </c>
      <c r="E5" s="40">
        <f>(D5-D4)/D4*100</f>
        <v>2.8436731097205752</v>
      </c>
      <c r="F5" s="23">
        <f t="shared" si="0"/>
        <v>30026.980137233651</v>
      </c>
      <c r="G5" s="40">
        <f t="shared" ref="G5:G12" si="1">(F5-F4)/F4*100</f>
        <v>74.938982155130745</v>
      </c>
      <c r="H5" s="23">
        <v>30429410.199999996</v>
      </c>
      <c r="I5" s="23">
        <f t="shared" ref="I5:I12" si="2">D5/H5*100</f>
        <v>6.8309496843287496</v>
      </c>
    </row>
    <row r="6" spans="1:9" x14ac:dyDescent="0.35">
      <c r="A6" s="22">
        <v>2014</v>
      </c>
      <c r="B6" s="40">
        <v>123.14</v>
      </c>
      <c r="C6" s="40">
        <f t="shared" ref="C6:C12" si="3">(B6-B5)/B5*100</f>
        <v>77.883712531599841</v>
      </c>
      <c r="D6" s="12">
        <v>2388234.9099999997</v>
      </c>
      <c r="E6" s="12">
        <f t="shared" ref="E6:E12" si="4">(D6-D5)/D5*100</f>
        <v>14.895341745622584</v>
      </c>
      <c r="F6" s="23">
        <f t="shared" si="0"/>
        <v>19394.468978398567</v>
      </c>
      <c r="G6" s="40">
        <f t="shared" si="1"/>
        <v>-35.409858434783793</v>
      </c>
      <c r="H6" s="23">
        <v>35005767.090000004</v>
      </c>
      <c r="I6" s="23">
        <f t="shared" si="2"/>
        <v>6.8224041594627414</v>
      </c>
    </row>
    <row r="7" spans="1:9" x14ac:dyDescent="0.35">
      <c r="A7" s="22">
        <v>2015</v>
      </c>
      <c r="B7" s="40">
        <v>116.48700000000001</v>
      </c>
      <c r="C7" s="40">
        <f t="shared" si="3"/>
        <v>-5.4027935682962411</v>
      </c>
      <c r="D7" s="12">
        <v>6628562.2599999998</v>
      </c>
      <c r="E7" s="12">
        <f t="shared" si="4"/>
        <v>177.55068114300366</v>
      </c>
      <c r="F7" s="23">
        <f t="shared" si="0"/>
        <v>56903.879917930753</v>
      </c>
      <c r="G7" s="40">
        <f t="shared" si="1"/>
        <v>193.40261896992345</v>
      </c>
      <c r="H7" s="23">
        <v>37274276.260000005</v>
      </c>
      <c r="I7" s="23">
        <f t="shared" si="2"/>
        <v>17.783208488780993</v>
      </c>
    </row>
    <row r="8" spans="1:9" x14ac:dyDescent="0.35">
      <c r="A8" s="22">
        <v>2016</v>
      </c>
      <c r="B8" s="40">
        <v>92.097000000000008</v>
      </c>
      <c r="C8" s="40">
        <f t="shared" si="3"/>
        <v>-20.937958742177237</v>
      </c>
      <c r="D8" s="12">
        <v>4215266.9800000004</v>
      </c>
      <c r="E8" s="12">
        <f t="shared" si="4"/>
        <v>-36.407522255059874</v>
      </c>
      <c r="F8" s="23">
        <f t="shared" si="0"/>
        <v>45769.861993333114</v>
      </c>
      <c r="G8" s="40">
        <f t="shared" si="1"/>
        <v>-19.566359869758625</v>
      </c>
      <c r="H8" s="23">
        <v>47540445.753000014</v>
      </c>
      <c r="I8" s="23">
        <f t="shared" si="2"/>
        <v>8.8666963744949694</v>
      </c>
    </row>
    <row r="9" spans="1:9" x14ac:dyDescent="0.35">
      <c r="A9" s="22">
        <v>2017</v>
      </c>
      <c r="B9" s="40">
        <v>32.81494</v>
      </c>
      <c r="C9" s="40">
        <f t="shared" si="3"/>
        <v>-64.369154261268008</v>
      </c>
      <c r="D9" s="12">
        <v>1640746.5</v>
      </c>
      <c r="E9" s="12">
        <f t="shared" si="4"/>
        <v>-61.07609535090468</v>
      </c>
      <c r="F9" s="23">
        <f t="shared" si="0"/>
        <v>49999.984763037814</v>
      </c>
      <c r="G9" s="40">
        <f t="shared" si="1"/>
        <v>9.2421575802891081</v>
      </c>
      <c r="H9" s="23">
        <v>41617401.160000011</v>
      </c>
      <c r="I9" s="23">
        <f t="shared" si="2"/>
        <v>3.9424530467245535</v>
      </c>
    </row>
    <row r="10" spans="1:9" x14ac:dyDescent="0.35">
      <c r="A10" s="22">
        <v>2018</v>
      </c>
      <c r="B10" s="40">
        <v>76.620275199999995</v>
      </c>
      <c r="C10" s="40">
        <f t="shared" si="3"/>
        <v>133.49204721995528</v>
      </c>
      <c r="D10" s="12">
        <v>3831013.76</v>
      </c>
      <c r="E10" s="12">
        <f t="shared" si="4"/>
        <v>133.49211837416686</v>
      </c>
      <c r="F10" s="23">
        <f t="shared" si="0"/>
        <v>50000</v>
      </c>
      <c r="G10" s="40">
        <f t="shared" si="1"/>
        <v>3.0473933659530783E-5</v>
      </c>
      <c r="H10" s="23">
        <v>29019928.495900001</v>
      </c>
      <c r="I10" s="23">
        <f t="shared" si="2"/>
        <v>13.201320466869012</v>
      </c>
    </row>
    <row r="11" spans="1:9" x14ac:dyDescent="0.35">
      <c r="A11" s="22">
        <v>2019</v>
      </c>
      <c r="B11" s="40">
        <v>113.03402020000001</v>
      </c>
      <c r="C11" s="40">
        <f t="shared" si="3"/>
        <v>47.5249467650046</v>
      </c>
      <c r="D11" s="12">
        <v>5651701.0100000007</v>
      </c>
      <c r="E11" s="12">
        <f t="shared" si="4"/>
        <v>47.5249467650046</v>
      </c>
      <c r="F11" s="23">
        <f t="shared" si="0"/>
        <v>50000</v>
      </c>
      <c r="G11" s="40">
        <f t="shared" si="1"/>
        <v>0</v>
      </c>
      <c r="H11" s="23">
        <v>46368718.010000005</v>
      </c>
      <c r="I11" s="23">
        <f t="shared" si="2"/>
        <v>12.188607433099916</v>
      </c>
    </row>
    <row r="12" spans="1:9" x14ac:dyDescent="0.35">
      <c r="A12" s="22">
        <v>2020</v>
      </c>
      <c r="B12" s="40">
        <v>211.20600000000002</v>
      </c>
      <c r="C12" s="40">
        <f t="shared" si="3"/>
        <v>86.851710331364458</v>
      </c>
      <c r="D12" s="12">
        <v>9965305.75</v>
      </c>
      <c r="E12" s="12">
        <f t="shared" si="4"/>
        <v>76.324008159094021</v>
      </c>
      <c r="F12" s="23">
        <f t="shared" si="0"/>
        <v>47182.872408927775</v>
      </c>
      <c r="G12" s="40">
        <f t="shared" si="1"/>
        <v>-5.6342551821444502</v>
      </c>
      <c r="H12" s="23">
        <v>35401084.399999999</v>
      </c>
      <c r="I12" s="23">
        <f t="shared" si="2"/>
        <v>28.149718910870426</v>
      </c>
    </row>
    <row r="13" spans="1:9" x14ac:dyDescent="0.35">
      <c r="A13" s="22">
        <v>2021</v>
      </c>
      <c r="B13" s="129" t="s">
        <v>66</v>
      </c>
      <c r="C13" s="129" t="s">
        <v>7</v>
      </c>
      <c r="D13" s="129" t="s">
        <v>66</v>
      </c>
      <c r="E13" s="129" t="s">
        <v>7</v>
      </c>
      <c r="F13" s="129" t="s">
        <v>66</v>
      </c>
      <c r="G13" s="129" t="s">
        <v>7</v>
      </c>
      <c r="H13" s="129" t="s">
        <v>66</v>
      </c>
      <c r="I13" s="129" t="s">
        <v>7</v>
      </c>
    </row>
    <row r="14" spans="1:9" x14ac:dyDescent="0.35">
      <c r="A14" s="22"/>
      <c r="B14" s="40"/>
      <c r="C14" s="40"/>
      <c r="D14" s="12"/>
      <c r="E14" s="12"/>
      <c r="F14" s="23"/>
      <c r="G14" s="40"/>
      <c r="H14" s="23"/>
      <c r="I14" s="23"/>
    </row>
    <row r="15" spans="1:9" x14ac:dyDescent="0.35">
      <c r="A15" s="18" t="s">
        <v>49</v>
      </c>
      <c r="B15" s="40"/>
      <c r="C15" s="40"/>
      <c r="D15" s="12"/>
      <c r="E15" s="12"/>
      <c r="F15" s="23"/>
      <c r="G15" s="40"/>
      <c r="H15" s="23"/>
      <c r="I15" s="23"/>
    </row>
    <row r="16" spans="1:9" x14ac:dyDescent="0.35">
      <c r="A16" s="66"/>
      <c r="B16" s="67"/>
      <c r="C16" s="67"/>
      <c r="D16" s="68"/>
      <c r="E16" s="68"/>
      <c r="F16" s="69"/>
      <c r="G16" s="67"/>
      <c r="H16" s="69"/>
      <c r="I16" s="70"/>
    </row>
    <row r="17" spans="1:9" ht="41.5" customHeight="1" x14ac:dyDescent="0.35">
      <c r="A17" s="116" t="s">
        <v>69</v>
      </c>
      <c r="B17" s="117"/>
      <c r="C17" s="117"/>
      <c r="D17" s="117"/>
      <c r="E17" s="117"/>
      <c r="F17" s="117"/>
      <c r="G17" s="117"/>
      <c r="H17" s="117"/>
      <c r="I17" s="118"/>
    </row>
    <row r="18" spans="1:9" x14ac:dyDescent="0.35">
      <c r="A18" s="64" t="s">
        <v>4</v>
      </c>
      <c r="B18" s="55" t="s">
        <v>3</v>
      </c>
      <c r="C18" s="6"/>
      <c r="D18" s="6"/>
      <c r="E18" s="6"/>
      <c r="F18" s="31"/>
      <c r="G18" s="6"/>
      <c r="H18" s="6"/>
      <c r="I18" s="6"/>
    </row>
    <row r="19" spans="1:9" x14ac:dyDescent="0.35">
      <c r="A19" s="22">
        <v>2012</v>
      </c>
      <c r="B19" s="41">
        <v>209.5</v>
      </c>
    </row>
    <row r="20" spans="1:9" x14ac:dyDescent="0.35">
      <c r="A20" s="22">
        <v>2013</v>
      </c>
      <c r="B20" s="41">
        <v>217.7</v>
      </c>
    </row>
    <row r="21" spans="1:9" x14ac:dyDescent="0.35">
      <c r="A21" s="22">
        <v>2014</v>
      </c>
      <c r="B21" s="42">
        <v>195.7</v>
      </c>
    </row>
    <row r="22" spans="1:9" x14ac:dyDescent="0.35">
      <c r="A22" s="22">
        <v>2015</v>
      </c>
      <c r="B22" s="41">
        <v>217.8</v>
      </c>
    </row>
    <row r="23" spans="1:9" x14ac:dyDescent="0.35">
      <c r="A23" s="22">
        <v>2016</v>
      </c>
      <c r="B23" s="41">
        <v>104</v>
      </c>
    </row>
    <row r="24" spans="1:9" x14ac:dyDescent="0.35">
      <c r="A24" s="22">
        <v>2017</v>
      </c>
      <c r="B24" s="41">
        <v>79</v>
      </c>
    </row>
    <row r="25" spans="1:9" x14ac:dyDescent="0.35">
      <c r="A25" s="22">
        <v>2018</v>
      </c>
      <c r="B25" s="41">
        <v>123.4</v>
      </c>
    </row>
    <row r="26" spans="1:9" x14ac:dyDescent="0.35">
      <c r="A26" s="22">
        <v>2019</v>
      </c>
      <c r="B26" s="41">
        <v>128.80000000000001</v>
      </c>
    </row>
    <row r="27" spans="1:9" x14ac:dyDescent="0.35">
      <c r="A27" s="22">
        <v>2020</v>
      </c>
      <c r="B27" s="41">
        <v>242.8</v>
      </c>
    </row>
  </sheetData>
  <mergeCells count="4">
    <mergeCell ref="A1:I1"/>
    <mergeCell ref="A2:A3"/>
    <mergeCell ref="B2:I2"/>
    <mergeCell ref="A17:I1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91270-8E8E-425A-A0F8-8B18ED81EFA1}">
  <sheetPr>
    <tabColor rgb="FFFFFF00"/>
  </sheetPr>
  <dimension ref="A1:I25"/>
  <sheetViews>
    <sheetView workbookViewId="0">
      <pane ySplit="3" topLeftCell="A13" activePane="bottomLeft" state="frozen"/>
      <selection pane="bottomLeft" activeCell="J18" sqref="J18"/>
    </sheetView>
  </sheetViews>
  <sheetFormatPr defaultColWidth="8.90625" defaultRowHeight="14.5" x14ac:dyDescent="0.35"/>
  <cols>
    <col min="1" max="1" width="7.1796875" style="18" customWidth="1"/>
    <col min="2" max="2" width="8.90625" style="18"/>
    <col min="3" max="3" width="13.81640625" style="18" customWidth="1"/>
    <col min="4" max="4" width="11.81640625" style="18" bestFit="1" customWidth="1"/>
    <col min="5" max="5" width="14.36328125" style="18" customWidth="1"/>
    <col min="6" max="6" width="9.6328125" style="18" bestFit="1" customWidth="1"/>
    <col min="7" max="7" width="14.453125" style="18" customWidth="1"/>
    <col min="8" max="8" width="15.54296875" style="18" customWidth="1"/>
    <col min="9" max="9" width="12.54296875" style="18" customWidth="1"/>
    <col min="10" max="11" width="26.81640625" style="18" bestFit="1" customWidth="1"/>
    <col min="12" max="16384" width="8.90625" style="18"/>
  </cols>
  <sheetData>
    <row r="1" spans="1:9" s="48" customFormat="1" ht="18.5" x14ac:dyDescent="0.45">
      <c r="A1" s="48" t="s">
        <v>50</v>
      </c>
    </row>
    <row r="2" spans="1:9" x14ac:dyDescent="0.35">
      <c r="A2" s="120" t="s">
        <v>4</v>
      </c>
      <c r="B2" s="119" t="s">
        <v>1</v>
      </c>
      <c r="C2" s="119"/>
      <c r="D2" s="119"/>
      <c r="E2" s="119"/>
      <c r="F2" s="119"/>
      <c r="G2" s="119"/>
      <c r="H2" s="119"/>
      <c r="I2" s="119"/>
    </row>
    <row r="3" spans="1:9" s="20" customFormat="1" ht="44.4" customHeight="1" x14ac:dyDescent="0.35">
      <c r="A3" s="120"/>
      <c r="B3" s="65" t="s">
        <v>3</v>
      </c>
      <c r="C3" s="6" t="s">
        <v>18</v>
      </c>
      <c r="D3" s="65" t="s">
        <v>59</v>
      </c>
      <c r="E3" s="6" t="s">
        <v>21</v>
      </c>
      <c r="F3" s="6" t="s">
        <v>10</v>
      </c>
      <c r="G3" s="6" t="s">
        <v>23</v>
      </c>
      <c r="H3" s="6" t="s">
        <v>35</v>
      </c>
      <c r="I3" s="6" t="s">
        <v>29</v>
      </c>
    </row>
    <row r="4" spans="1:9" s="20" customFormat="1" x14ac:dyDescent="0.35">
      <c r="A4" s="18">
        <v>2002</v>
      </c>
      <c r="B4" s="19">
        <v>21.975082644628099</v>
      </c>
      <c r="C4" s="19"/>
      <c r="D4" s="19">
        <v>241252.63636363638</v>
      </c>
      <c r="E4" s="6"/>
      <c r="F4" s="19">
        <f t="shared" ref="F4:F12" si="0">D4/B4</f>
        <v>10978.463210585995</v>
      </c>
      <c r="G4" s="6"/>
      <c r="H4" s="19">
        <v>14441000</v>
      </c>
      <c r="I4" s="19">
        <f t="shared" ref="I4:I12" si="1">D4/H4*100</f>
        <v>1.6706089354174669</v>
      </c>
    </row>
    <row r="5" spans="1:9" s="20" customFormat="1" x14ac:dyDescent="0.35">
      <c r="A5" s="18">
        <v>2003</v>
      </c>
      <c r="B5" s="19">
        <v>46.84</v>
      </c>
      <c r="C5" s="19">
        <f>(B5-B4)/B4*100</f>
        <v>113.1505066783002</v>
      </c>
      <c r="D5" s="12">
        <v>120848</v>
      </c>
      <c r="E5" s="19">
        <f>(D5-D4)/D4*100</f>
        <v>-49.908112167591959</v>
      </c>
      <c r="F5" s="19">
        <f t="shared" si="0"/>
        <v>2580.0170794192995</v>
      </c>
      <c r="G5" s="19">
        <f t="shared" ref="G5:G13" si="2">(F5-F4)/F4*100</f>
        <v>-76.499287469201377</v>
      </c>
      <c r="H5" s="19">
        <v>18206369</v>
      </c>
      <c r="I5" s="19">
        <f t="shared" si="1"/>
        <v>0.66376771776953436</v>
      </c>
    </row>
    <row r="6" spans="1:9" s="20" customFormat="1" x14ac:dyDescent="0.35">
      <c r="A6" s="18">
        <v>2004</v>
      </c>
      <c r="B6" s="19">
        <v>51.253</v>
      </c>
      <c r="C6" s="19">
        <f t="shared" ref="C6:C13" si="3">(B6-B5)/B5*100</f>
        <v>9.4214346712211707</v>
      </c>
      <c r="D6" s="19">
        <v>132221</v>
      </c>
      <c r="E6" s="19">
        <f t="shared" ref="E6:E13" si="4">(D6-D5)/D5*100</f>
        <v>9.4109956308751492</v>
      </c>
      <c r="F6" s="19">
        <f t="shared" si="0"/>
        <v>2579.7709402376445</v>
      </c>
      <c r="G6" s="19">
        <f t="shared" si="2"/>
        <v>-9.5402152031665299E-3</v>
      </c>
      <c r="H6" s="19">
        <v>14002603</v>
      </c>
      <c r="I6" s="19">
        <f t="shared" si="1"/>
        <v>0.94426014934508962</v>
      </c>
    </row>
    <row r="7" spans="1:9" s="20" customFormat="1" x14ac:dyDescent="0.35">
      <c r="A7" s="18">
        <v>2005</v>
      </c>
      <c r="B7" s="19">
        <v>52.235999999999997</v>
      </c>
      <c r="C7" s="19">
        <f t="shared" si="3"/>
        <v>1.9179365110334947</v>
      </c>
      <c r="D7" s="19">
        <v>134769</v>
      </c>
      <c r="E7" s="19">
        <f t="shared" si="4"/>
        <v>1.9270766368428616</v>
      </c>
      <c r="F7" s="19">
        <f t="shared" si="0"/>
        <v>2580.0022972662532</v>
      </c>
      <c r="G7" s="19">
        <f t="shared" si="2"/>
        <v>8.9681229058039824E-3</v>
      </c>
      <c r="H7" s="19">
        <v>12984435</v>
      </c>
      <c r="I7" s="19">
        <f t="shared" si="1"/>
        <v>1.0379273337653891</v>
      </c>
    </row>
    <row r="8" spans="1:9" s="20" customFormat="1" x14ac:dyDescent="0.35">
      <c r="A8" s="18">
        <v>2006</v>
      </c>
      <c r="B8" s="19">
        <v>97.26931818181815</v>
      </c>
      <c r="C8" s="19">
        <f t="shared" si="3"/>
        <v>86.211268439042328</v>
      </c>
      <c r="D8" s="19">
        <v>283642.44</v>
      </c>
      <c r="E8" s="19">
        <f t="shared" si="4"/>
        <v>110.46564120828974</v>
      </c>
      <c r="F8" s="19">
        <f t="shared" si="0"/>
        <v>2916.0525158592018</v>
      </c>
      <c r="G8" s="19">
        <f t="shared" si="2"/>
        <v>13.025190673241816</v>
      </c>
      <c r="H8" s="19">
        <v>8922341</v>
      </c>
      <c r="I8" s="19">
        <f t="shared" si="1"/>
        <v>3.1790136691704567</v>
      </c>
    </row>
    <row r="9" spans="1:9" s="20" customFormat="1" x14ac:dyDescent="0.35">
      <c r="A9" s="18">
        <v>2007</v>
      </c>
      <c r="B9" s="19">
        <v>30.533939999999998</v>
      </c>
      <c r="C9" s="19">
        <f t="shared" si="3"/>
        <v>-68.6088680678061</v>
      </c>
      <c r="D9" s="19">
        <v>415594.58999999997</v>
      </c>
      <c r="E9" s="19">
        <f t="shared" si="4"/>
        <v>46.52059473187439</v>
      </c>
      <c r="F9" s="19">
        <f t="shared" si="0"/>
        <v>13610.906093350546</v>
      </c>
      <c r="G9" s="19">
        <f t="shared" si="2"/>
        <v>366.75792083052221</v>
      </c>
      <c r="H9" s="19">
        <v>16189640</v>
      </c>
      <c r="I9" s="19">
        <f t="shared" si="1"/>
        <v>2.5670403418482435</v>
      </c>
    </row>
    <row r="10" spans="1:9" s="20" customFormat="1" x14ac:dyDescent="0.35">
      <c r="A10" s="18">
        <v>2008</v>
      </c>
      <c r="B10" s="19">
        <v>50.937086363636361</v>
      </c>
      <c r="C10" s="19">
        <f t="shared" si="3"/>
        <v>66.821204088422149</v>
      </c>
      <c r="D10" s="19">
        <v>226143</v>
      </c>
      <c r="E10" s="19">
        <f t="shared" si="4"/>
        <v>-45.585672806761032</v>
      </c>
      <c r="F10" s="19">
        <f t="shared" si="0"/>
        <v>4439.6532299782648</v>
      </c>
      <c r="G10" s="19">
        <f t="shared" si="2"/>
        <v>-67.381648219972618</v>
      </c>
      <c r="H10" s="19">
        <v>21193756</v>
      </c>
      <c r="I10" s="19">
        <f t="shared" si="1"/>
        <v>1.0670265336639717</v>
      </c>
    </row>
    <row r="11" spans="1:9" s="20" customFormat="1" x14ac:dyDescent="0.35">
      <c r="A11" s="18">
        <v>2009</v>
      </c>
      <c r="B11" s="19">
        <v>43.920680909090905</v>
      </c>
      <c r="C11" s="19">
        <f t="shared" si="3"/>
        <v>-13.774650172284728</v>
      </c>
      <c r="D11" s="19">
        <v>278605</v>
      </c>
      <c r="E11" s="19">
        <f t="shared" si="4"/>
        <v>23.198595578903614</v>
      </c>
      <c r="F11" s="19">
        <f t="shared" si="0"/>
        <v>6343.3670478986824</v>
      </c>
      <c r="G11" s="19">
        <f t="shared" si="2"/>
        <v>42.879786310016328</v>
      </c>
      <c r="H11" s="19">
        <v>18319742</v>
      </c>
      <c r="I11" s="19">
        <f t="shared" si="1"/>
        <v>1.5207910679091441</v>
      </c>
    </row>
    <row r="12" spans="1:9" s="20" customFormat="1" x14ac:dyDescent="0.35">
      <c r="A12" s="18">
        <v>2010</v>
      </c>
      <c r="B12" s="19">
        <v>42.953545454545448</v>
      </c>
      <c r="C12" s="19">
        <f t="shared" si="3"/>
        <v>-2.2020046923846168</v>
      </c>
      <c r="D12" s="19">
        <v>274883</v>
      </c>
      <c r="E12" s="19">
        <f t="shared" si="4"/>
        <v>-1.3359415660164031</v>
      </c>
      <c r="F12" s="19">
        <f t="shared" si="0"/>
        <v>6399.5415766292981</v>
      </c>
      <c r="G12" s="19">
        <f t="shared" si="2"/>
        <v>0.88556327115304234</v>
      </c>
      <c r="H12" s="19">
        <v>29954777</v>
      </c>
      <c r="I12" s="19">
        <f t="shared" si="1"/>
        <v>0.91765997790602816</v>
      </c>
    </row>
    <row r="13" spans="1:9" x14ac:dyDescent="0.35">
      <c r="A13" s="18">
        <v>2011</v>
      </c>
      <c r="B13" s="19">
        <v>32.746236363636356</v>
      </c>
      <c r="C13" s="19">
        <f t="shared" si="3"/>
        <v>-23.763600845733983</v>
      </c>
      <c r="D13" s="19">
        <v>218480</v>
      </c>
      <c r="E13" s="19">
        <f t="shared" si="4"/>
        <v>-20.518911682424886</v>
      </c>
      <c r="F13" s="19">
        <f t="shared" ref="F13:F20" si="5">D13/B13</f>
        <v>6671.9117755656043</v>
      </c>
      <c r="G13" s="19">
        <f t="shared" si="2"/>
        <v>4.2560892163117456</v>
      </c>
      <c r="H13" s="19">
        <v>43470832</v>
      </c>
      <c r="I13" s="19">
        <f t="shared" ref="I13:I20" si="6">D13/H13*100</f>
        <v>0.50258987451631931</v>
      </c>
    </row>
    <row r="14" spans="1:9" x14ac:dyDescent="0.35">
      <c r="A14" s="18">
        <v>2012</v>
      </c>
      <c r="B14" s="19">
        <v>45.327681818181809</v>
      </c>
      <c r="C14" s="19">
        <f>(B14-B13)/B13*100</f>
        <v>38.421042695815707</v>
      </c>
      <c r="D14" s="19">
        <v>481637</v>
      </c>
      <c r="E14" s="19">
        <f>(D14-D13)/D13*100</f>
        <v>120.44901135115342</v>
      </c>
      <c r="F14" s="19">
        <f t="shared" si="5"/>
        <v>10625.670245655627</v>
      </c>
      <c r="G14" s="19">
        <f>(F14-F13)/F13*100</f>
        <v>59.259753472307366</v>
      </c>
      <c r="H14" s="19">
        <v>52233130</v>
      </c>
      <c r="I14" s="19">
        <f t="shared" si="6"/>
        <v>0.9220910177123216</v>
      </c>
    </row>
    <row r="15" spans="1:9" x14ac:dyDescent="0.35">
      <c r="A15" s="18">
        <v>2013</v>
      </c>
      <c r="B15" s="19">
        <v>42.018740909090901</v>
      </c>
      <c r="C15" s="19">
        <f t="shared" ref="C15:C23" si="7">(B15-B14)/B14*100</f>
        <v>-7.3000444239873463</v>
      </c>
      <c r="D15" s="19">
        <v>451426</v>
      </c>
      <c r="E15" s="19">
        <f t="shared" ref="E15:E20" si="8">(D15-D14)/D14*100</f>
        <v>-6.2725662687874895</v>
      </c>
      <c r="F15" s="19">
        <f t="shared" si="5"/>
        <v>10743.444240194556</v>
      </c>
      <c r="G15" s="19">
        <f t="shared" ref="G15:G20" si="9">(F15-F14)/F14*100</f>
        <v>1.1083912056002496</v>
      </c>
      <c r="H15" s="19">
        <v>34859000</v>
      </c>
      <c r="I15" s="19">
        <f t="shared" si="6"/>
        <v>1.295005593964256</v>
      </c>
    </row>
    <row r="16" spans="1:9" x14ac:dyDescent="0.35">
      <c r="A16" s="18">
        <v>2014</v>
      </c>
      <c r="B16" s="19">
        <v>64.092081818181811</v>
      </c>
      <c r="C16" s="19">
        <f t="shared" si="7"/>
        <v>52.532133118522992</v>
      </c>
      <c r="D16" s="19">
        <v>701547</v>
      </c>
      <c r="E16" s="19">
        <f t="shared" si="8"/>
        <v>55.406866241643151</v>
      </c>
      <c r="F16" s="19">
        <f t="shared" si="5"/>
        <v>10945.923117151475</v>
      </c>
      <c r="G16" s="19">
        <f t="shared" si="9"/>
        <v>1.8846737827277249</v>
      </c>
      <c r="H16" s="19">
        <v>32140811</v>
      </c>
      <c r="I16" s="19">
        <f t="shared" si="6"/>
        <v>2.1827296143834078</v>
      </c>
    </row>
    <row r="17" spans="1:9" x14ac:dyDescent="0.35">
      <c r="A17" s="18">
        <v>2015</v>
      </c>
      <c r="B17" s="19">
        <v>72.946272727272742</v>
      </c>
      <c r="C17" s="19">
        <f t="shared" si="7"/>
        <v>13.81479686400068</v>
      </c>
      <c r="D17" s="19">
        <v>801436</v>
      </c>
      <c r="E17" s="19">
        <f t="shared" si="8"/>
        <v>14.238390300293494</v>
      </c>
      <c r="F17" s="19">
        <f t="shared" si="5"/>
        <v>10986.661415811635</v>
      </c>
      <c r="G17" s="19">
        <f t="shared" si="9"/>
        <v>0.37217782569956659</v>
      </c>
      <c r="H17" s="19">
        <v>39574796</v>
      </c>
      <c r="I17" s="19">
        <f t="shared" si="6"/>
        <v>2.0251171983299674</v>
      </c>
    </row>
    <row r="18" spans="1:9" x14ac:dyDescent="0.35">
      <c r="A18" s="18">
        <v>2016</v>
      </c>
      <c r="B18" s="19">
        <v>75.206690909090909</v>
      </c>
      <c r="C18" s="19">
        <f t="shared" si="7"/>
        <v>3.0987439074087946</v>
      </c>
      <c r="D18" s="19">
        <v>826993</v>
      </c>
      <c r="E18" s="19">
        <f t="shared" si="8"/>
        <v>3.1889009228434961</v>
      </c>
      <c r="F18" s="19">
        <f t="shared" si="5"/>
        <v>10996.268948990999</v>
      </c>
      <c r="G18" s="19">
        <f t="shared" si="9"/>
        <v>8.7447249130083865E-2</v>
      </c>
      <c r="H18" s="19">
        <v>48724634</v>
      </c>
      <c r="I18" s="19">
        <f t="shared" si="6"/>
        <v>1.6972790395921704</v>
      </c>
    </row>
    <row r="19" spans="1:9" x14ac:dyDescent="0.35">
      <c r="A19" s="18">
        <v>2017</v>
      </c>
      <c r="B19" s="19">
        <v>62.717418181818182</v>
      </c>
      <c r="C19" s="19">
        <f t="shared" si="7"/>
        <v>-16.606597865567085</v>
      </c>
      <c r="D19" s="19">
        <v>827655</v>
      </c>
      <c r="E19" s="19">
        <f t="shared" si="8"/>
        <v>8.004904515515851E-2</v>
      </c>
      <c r="F19" s="19">
        <f t="shared" si="5"/>
        <v>13196.57320077531</v>
      </c>
      <c r="G19" s="19">
        <f t="shared" si="9"/>
        <v>20.009552894631668</v>
      </c>
      <c r="H19" s="19">
        <v>45980591</v>
      </c>
      <c r="I19" s="19">
        <f t="shared" si="6"/>
        <v>1.8000094866114269</v>
      </c>
    </row>
    <row r="20" spans="1:9" x14ac:dyDescent="0.35">
      <c r="A20" s="18">
        <v>2018</v>
      </c>
      <c r="B20" s="19">
        <v>51.175754545454545</v>
      </c>
      <c r="C20" s="19">
        <f t="shared" si="7"/>
        <v>-18.402644705342116</v>
      </c>
      <c r="D20" s="19">
        <v>674352</v>
      </c>
      <c r="E20" s="19">
        <f t="shared" si="8"/>
        <v>-18.522572811135074</v>
      </c>
      <c r="F20" s="19">
        <f t="shared" si="5"/>
        <v>13177.177473778866</v>
      </c>
      <c r="G20" s="19">
        <f t="shared" si="9"/>
        <v>-0.14697548144775455</v>
      </c>
      <c r="H20" s="19">
        <v>46770141</v>
      </c>
      <c r="I20" s="19">
        <f t="shared" si="6"/>
        <v>1.4418429912366524</v>
      </c>
    </row>
    <row r="21" spans="1:9" x14ac:dyDescent="0.35">
      <c r="A21" s="18">
        <v>2019</v>
      </c>
      <c r="B21" s="19">
        <v>44.82</v>
      </c>
      <c r="C21" s="91">
        <f t="shared" si="7"/>
        <v>-12.41946425979774</v>
      </c>
      <c r="D21" s="88" t="s">
        <v>66</v>
      </c>
      <c r="E21" s="91"/>
      <c r="F21" s="91"/>
      <c r="G21" s="91"/>
      <c r="H21" s="88" t="s">
        <v>66</v>
      </c>
      <c r="I21" s="19"/>
    </row>
    <row r="22" spans="1:9" x14ac:dyDescent="0.35">
      <c r="A22" s="18">
        <v>2020</v>
      </c>
      <c r="B22" s="19">
        <v>39.655999999999999</v>
      </c>
      <c r="C22" s="91">
        <f t="shared" si="7"/>
        <v>-11.521642124051766</v>
      </c>
      <c r="D22" s="88" t="s">
        <v>66</v>
      </c>
      <c r="E22" s="91"/>
      <c r="F22" s="91"/>
      <c r="G22" s="91"/>
      <c r="H22" s="88" t="s">
        <v>66</v>
      </c>
      <c r="I22" s="19"/>
    </row>
    <row r="23" spans="1:9" x14ac:dyDescent="0.35">
      <c r="A23" s="18">
        <v>2021</v>
      </c>
      <c r="B23" s="19">
        <v>36.198</v>
      </c>
      <c r="C23" s="91">
        <f t="shared" si="7"/>
        <v>-8.7199919306031841</v>
      </c>
      <c r="D23" s="88" t="s">
        <v>66</v>
      </c>
      <c r="E23" s="91"/>
      <c r="F23" s="91"/>
      <c r="G23" s="91"/>
      <c r="H23" s="88" t="s">
        <v>66</v>
      </c>
      <c r="I23" s="19"/>
    </row>
    <row r="24" spans="1:9" x14ac:dyDescent="0.35">
      <c r="I24" s="32"/>
    </row>
    <row r="25" spans="1:9" x14ac:dyDescent="0.35">
      <c r="A25" s="18" t="s">
        <v>70</v>
      </c>
      <c r="I25" s="32"/>
    </row>
  </sheetData>
  <mergeCells count="2">
    <mergeCell ref="B2:I2"/>
    <mergeCell ref="A2:A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264AD-F5C6-409B-A7F9-28408F5E2BEF}">
  <sheetPr>
    <tabColor rgb="FFC00000"/>
  </sheetPr>
  <dimension ref="A1:L16"/>
  <sheetViews>
    <sheetView workbookViewId="0">
      <selection activeCell="H15" sqref="H15"/>
    </sheetView>
  </sheetViews>
  <sheetFormatPr defaultColWidth="8.90625" defaultRowHeight="14.5" x14ac:dyDescent="0.35"/>
  <cols>
    <col min="1" max="1" width="14.36328125" style="90" customWidth="1"/>
    <col min="2" max="2" width="9.90625" style="90" bestFit="1" customWidth="1"/>
    <col min="3" max="3" width="12.90625" style="90" bestFit="1" customWidth="1"/>
    <col min="4" max="4" width="12.1796875" style="90" bestFit="1" customWidth="1"/>
    <col min="5" max="6" width="12.54296875" style="90" customWidth="1"/>
    <col min="7" max="7" width="14.453125" style="90" customWidth="1"/>
    <col min="8" max="8" width="25.36328125" style="90" customWidth="1"/>
    <col min="9" max="9" width="11.54296875" style="90" customWidth="1"/>
    <col min="10" max="16384" width="8.90625" style="90"/>
  </cols>
  <sheetData>
    <row r="1" spans="1:12" s="48" customFormat="1" ht="18.5" x14ac:dyDescent="0.45">
      <c r="A1" s="108" t="s">
        <v>65</v>
      </c>
      <c r="B1" s="108"/>
      <c r="C1" s="108"/>
      <c r="D1" s="108"/>
      <c r="E1" s="108"/>
      <c r="F1" s="108"/>
      <c r="G1" s="108"/>
      <c r="H1" s="108"/>
      <c r="I1" s="108"/>
    </row>
    <row r="2" spans="1:12" s="11" customFormat="1" x14ac:dyDescent="0.35">
      <c r="A2" s="102" t="s">
        <v>4</v>
      </c>
      <c r="B2" s="119" t="s">
        <v>1</v>
      </c>
      <c r="C2" s="119"/>
      <c r="D2" s="119"/>
      <c r="E2" s="119"/>
      <c r="F2" s="119"/>
      <c r="G2" s="119"/>
      <c r="H2" s="119"/>
      <c r="I2" s="119"/>
    </row>
    <row r="3" spans="1:12" s="11" customFormat="1" ht="43.75" customHeight="1" x14ac:dyDescent="0.35">
      <c r="A3" s="102"/>
      <c r="B3" s="101" t="s">
        <v>3</v>
      </c>
      <c r="C3" s="6" t="s">
        <v>18</v>
      </c>
      <c r="D3" s="101" t="s">
        <v>60</v>
      </c>
      <c r="E3" s="6" t="s">
        <v>21</v>
      </c>
      <c r="F3" s="6" t="s">
        <v>9</v>
      </c>
      <c r="G3" s="6" t="s">
        <v>23</v>
      </c>
      <c r="H3" s="6" t="s">
        <v>36</v>
      </c>
      <c r="I3" s="6" t="s">
        <v>29</v>
      </c>
    </row>
    <row r="4" spans="1:12" x14ac:dyDescent="0.35">
      <c r="A4" s="90">
        <v>2012</v>
      </c>
      <c r="B4" s="90">
        <v>643</v>
      </c>
      <c r="C4" s="91"/>
      <c r="D4" s="91">
        <v>418000000</v>
      </c>
      <c r="E4" s="91"/>
      <c r="F4" s="91">
        <f t="shared" ref="F4:F12" si="0">D4/B4</f>
        <v>650077.76049766713</v>
      </c>
      <c r="G4" s="92"/>
      <c r="H4" s="88">
        <v>3698000000</v>
      </c>
      <c r="I4" s="91">
        <f>D4/H4*100</f>
        <v>11.303407247160626</v>
      </c>
    </row>
    <row r="5" spans="1:12" x14ac:dyDescent="0.35">
      <c r="A5" s="90">
        <v>2013</v>
      </c>
      <c r="B5" s="90">
        <v>819</v>
      </c>
      <c r="C5" s="91">
        <f>(B5-B4)/B4*100</f>
        <v>27.371695178849144</v>
      </c>
      <c r="D5" s="91">
        <v>810000000</v>
      </c>
      <c r="E5" s="91">
        <f t="shared" ref="E5:E13" si="1">(D5-D4)/D4*100</f>
        <v>93.779904306220089</v>
      </c>
      <c r="F5" s="91">
        <f t="shared" si="0"/>
        <v>989010.98901098897</v>
      </c>
      <c r="G5" s="91">
        <f>(F5-F4)/F4*100</f>
        <v>52.137336347862671</v>
      </c>
      <c r="H5" s="88">
        <v>3811000000</v>
      </c>
      <c r="I5" s="91">
        <f t="shared" ref="I5:I12" si="2">D5/H5*100</f>
        <v>21.254263972710575</v>
      </c>
    </row>
    <row r="6" spans="1:12" x14ac:dyDescent="0.35">
      <c r="A6" s="90">
        <v>2014</v>
      </c>
      <c r="B6" s="90">
        <v>786</v>
      </c>
      <c r="C6" s="91">
        <f t="shared" ref="C6:C12" si="3">(B6-B5)/B5*100</f>
        <v>-4.0293040293040292</v>
      </c>
      <c r="D6" s="91">
        <v>728000000</v>
      </c>
      <c r="E6" s="91">
        <f t="shared" si="1"/>
        <v>-10.123456790123457</v>
      </c>
      <c r="F6" s="91">
        <f t="shared" si="0"/>
        <v>926208.65139949112</v>
      </c>
      <c r="G6" s="91">
        <f t="shared" ref="G6:G12" si="4">(F6-F5)/F5*100</f>
        <v>-6.3500141362736713</v>
      </c>
      <c r="H6" s="91">
        <v>5692000000</v>
      </c>
      <c r="I6" s="91">
        <f t="shared" si="2"/>
        <v>12.789880534082924</v>
      </c>
      <c r="J6" s="96"/>
      <c r="L6" s="100"/>
    </row>
    <row r="7" spans="1:12" x14ac:dyDescent="0.35">
      <c r="A7" s="90">
        <v>2015</v>
      </c>
      <c r="B7" s="90">
        <v>158</v>
      </c>
      <c r="C7" s="91">
        <f t="shared" si="3"/>
        <v>-79.898218829516537</v>
      </c>
      <c r="D7" s="91">
        <v>69000000</v>
      </c>
      <c r="E7" s="91">
        <f t="shared" si="1"/>
        <v>-90.521978021978029</v>
      </c>
      <c r="F7" s="91">
        <f t="shared" si="0"/>
        <v>436708.86075949366</v>
      </c>
      <c r="G7" s="91">
        <f t="shared" si="4"/>
        <v>-52.849840033384346</v>
      </c>
      <c r="H7" s="91">
        <v>4249000000</v>
      </c>
      <c r="I7" s="91">
        <f t="shared" si="2"/>
        <v>1.6239115085902565</v>
      </c>
    </row>
    <row r="8" spans="1:12" x14ac:dyDescent="0.35">
      <c r="A8" s="90">
        <v>2016</v>
      </c>
      <c r="B8" s="91">
        <v>1052</v>
      </c>
      <c r="C8" s="91">
        <f t="shared" si="3"/>
        <v>565.82278481012656</v>
      </c>
      <c r="D8" s="91">
        <v>1060000000</v>
      </c>
      <c r="E8" s="91">
        <f t="shared" si="1"/>
        <v>1436.231884057971</v>
      </c>
      <c r="F8" s="91">
        <f t="shared" si="0"/>
        <v>1007604.5627376426</v>
      </c>
      <c r="G8" s="91">
        <f t="shared" si="4"/>
        <v>130.7268419022428</v>
      </c>
      <c r="H8" s="91">
        <v>5292302421</v>
      </c>
      <c r="I8" s="91">
        <f t="shared" si="2"/>
        <v>20.029089717055683</v>
      </c>
    </row>
    <row r="9" spans="1:12" x14ac:dyDescent="0.35">
      <c r="A9" s="90">
        <v>2017</v>
      </c>
      <c r="B9" s="91">
        <v>1150</v>
      </c>
      <c r="C9" s="91">
        <f t="shared" si="3"/>
        <v>9.3155893536121681</v>
      </c>
      <c r="D9" s="91">
        <v>1277000000</v>
      </c>
      <c r="E9" s="91">
        <f t="shared" si="1"/>
        <v>20.471698113207548</v>
      </c>
      <c r="F9" s="91">
        <f t="shared" si="0"/>
        <v>1110434.7826086956</v>
      </c>
      <c r="G9" s="91">
        <f t="shared" si="4"/>
        <v>10.205414273995073</v>
      </c>
      <c r="H9" s="91">
        <v>6363000000</v>
      </c>
      <c r="I9" s="91">
        <f t="shared" si="2"/>
        <v>20.069149772120067</v>
      </c>
    </row>
    <row r="10" spans="1:12" x14ac:dyDescent="0.35">
      <c r="A10" s="90">
        <v>2018</v>
      </c>
      <c r="B10" s="90">
        <v>811</v>
      </c>
      <c r="C10" s="91">
        <f t="shared" si="3"/>
        <v>-29.478260869565215</v>
      </c>
      <c r="D10" s="91">
        <v>2513000000</v>
      </c>
      <c r="E10" s="91">
        <f t="shared" si="1"/>
        <v>96.789350039154272</v>
      </c>
      <c r="F10" s="91">
        <f t="shared" si="0"/>
        <v>3098643.649815043</v>
      </c>
      <c r="G10" s="91">
        <f t="shared" si="4"/>
        <v>179.04778365601408</v>
      </c>
      <c r="H10" s="91">
        <v>6760658166</v>
      </c>
      <c r="I10" s="91">
        <f t="shared" si="2"/>
        <v>37.170937182390297</v>
      </c>
    </row>
    <row r="11" spans="1:12" x14ac:dyDescent="0.35">
      <c r="A11" s="90">
        <v>2019</v>
      </c>
      <c r="B11" s="90">
        <v>877</v>
      </c>
      <c r="C11" s="91">
        <f t="shared" si="3"/>
        <v>8.1381011097410614</v>
      </c>
      <c r="D11" s="91">
        <v>2970000000</v>
      </c>
      <c r="E11" s="91">
        <f t="shared" si="1"/>
        <v>18.185435734182253</v>
      </c>
      <c r="F11" s="91">
        <f t="shared" si="0"/>
        <v>3386545.0399087798</v>
      </c>
      <c r="G11" s="91">
        <f t="shared" si="4"/>
        <v>9.291206819181081</v>
      </c>
      <c r="H11" s="91">
        <v>6408192958</v>
      </c>
      <c r="I11" s="91">
        <f t="shared" si="2"/>
        <v>46.34691900611773</v>
      </c>
    </row>
    <row r="12" spans="1:12" x14ac:dyDescent="0.35">
      <c r="A12" s="90">
        <v>2020</v>
      </c>
      <c r="B12" s="90">
        <v>774</v>
      </c>
      <c r="C12" s="91">
        <f t="shared" si="3"/>
        <v>-11.744583808437856</v>
      </c>
      <c r="D12" s="91">
        <v>2601483150</v>
      </c>
      <c r="E12" s="91">
        <f t="shared" si="1"/>
        <v>-12.407974747474748</v>
      </c>
      <c r="F12" s="91">
        <f t="shared" si="0"/>
        <v>3361089.3410852714</v>
      </c>
      <c r="G12" s="91">
        <f t="shared" si="4"/>
        <v>-0.75167164539450559</v>
      </c>
      <c r="H12" s="91">
        <v>5307530902</v>
      </c>
      <c r="I12" s="91">
        <f t="shared" si="2"/>
        <v>49.014941185169569</v>
      </c>
      <c r="J12" s="91"/>
    </row>
    <row r="13" spans="1:12" x14ac:dyDescent="0.35">
      <c r="A13" s="90">
        <v>2021</v>
      </c>
      <c r="B13" s="81" t="s">
        <v>66</v>
      </c>
      <c r="C13" s="91"/>
      <c r="D13" s="91">
        <v>2459176793</v>
      </c>
      <c r="E13" s="91">
        <f t="shared" si="1"/>
        <v>-5.4702009890012162</v>
      </c>
      <c r="F13" s="91"/>
      <c r="G13" s="91"/>
      <c r="H13" s="81" t="s">
        <v>66</v>
      </c>
      <c r="I13" s="91"/>
    </row>
    <row r="14" spans="1:12" x14ac:dyDescent="0.35">
      <c r="C14" s="91"/>
      <c r="E14" s="91"/>
      <c r="G14" s="91"/>
      <c r="H14" s="91"/>
      <c r="I14" s="91"/>
    </row>
    <row r="16" spans="1:12" x14ac:dyDescent="0.35">
      <c r="A16" s="90" t="s">
        <v>51</v>
      </c>
    </row>
  </sheetData>
  <mergeCells count="2">
    <mergeCell ref="A1:I1"/>
    <mergeCell ref="B2:I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F63C1-0A6B-4B1B-AA1A-65B1FE855E2E}">
  <sheetPr>
    <tabColor rgb="FF7030A0"/>
  </sheetPr>
  <dimension ref="A1:F31"/>
  <sheetViews>
    <sheetView zoomScaleNormal="100" workbookViewId="0">
      <pane ySplit="3" topLeftCell="A10" activePane="bottomLeft" state="frozen"/>
      <selection pane="bottomLeft" activeCell="D29" sqref="D29"/>
    </sheetView>
  </sheetViews>
  <sheetFormatPr defaultColWidth="8.90625" defaultRowHeight="14.5" x14ac:dyDescent="0.35"/>
  <cols>
    <col min="1" max="1" width="11" style="46" customWidth="1"/>
    <col min="2" max="2" width="10.6328125" style="46" customWidth="1"/>
    <col min="3" max="3" width="18.90625" style="46" customWidth="1"/>
    <col min="4" max="4" width="21.36328125" style="46" customWidth="1"/>
    <col min="5" max="5" width="19.36328125" style="46" customWidth="1"/>
    <col min="6" max="16384" width="8.90625" style="46"/>
  </cols>
  <sheetData>
    <row r="1" spans="1:6" s="49" customFormat="1" ht="18.5" x14ac:dyDescent="0.45">
      <c r="A1" s="125" t="s">
        <v>52</v>
      </c>
      <c r="B1" s="126"/>
      <c r="C1" s="126"/>
      <c r="D1" s="126"/>
      <c r="E1" s="127"/>
    </row>
    <row r="2" spans="1:6" x14ac:dyDescent="0.35">
      <c r="A2" s="121" t="s">
        <v>4</v>
      </c>
      <c r="B2" s="122" t="s">
        <v>1</v>
      </c>
      <c r="C2" s="123"/>
      <c r="D2" s="123"/>
      <c r="E2" s="124"/>
    </row>
    <row r="3" spans="1:6" ht="28.25" customHeight="1" x14ac:dyDescent="0.35">
      <c r="A3" s="121"/>
      <c r="B3" s="34" t="s">
        <v>61</v>
      </c>
      <c r="C3" s="6" t="s">
        <v>26</v>
      </c>
      <c r="D3" s="6" t="s">
        <v>27</v>
      </c>
      <c r="E3" s="6" t="s">
        <v>25</v>
      </c>
    </row>
    <row r="4" spans="1:6" x14ac:dyDescent="0.35">
      <c r="A4" s="18">
        <v>2005</v>
      </c>
      <c r="B4" s="19">
        <v>3.43</v>
      </c>
      <c r="C4" s="19"/>
      <c r="D4" s="19">
        <v>753128682</v>
      </c>
      <c r="E4" s="47">
        <f>B4/D4*100</f>
        <v>4.5543345805013444E-7</v>
      </c>
    </row>
    <row r="5" spans="1:6" x14ac:dyDescent="0.35">
      <c r="A5" s="18">
        <v>2006</v>
      </c>
      <c r="B5" s="1">
        <v>49</v>
      </c>
      <c r="C5" s="1">
        <f>(B5-B4)/B4*100</f>
        <v>1328.5714285714284</v>
      </c>
      <c r="D5" s="19">
        <v>901792486</v>
      </c>
      <c r="E5" s="47">
        <f t="shared" ref="E5:E19" si="0">B5/D5*100</f>
        <v>5.4336225640274405E-6</v>
      </c>
    </row>
    <row r="6" spans="1:6" x14ac:dyDescent="0.35">
      <c r="A6" s="18">
        <v>2007</v>
      </c>
      <c r="B6" s="1">
        <v>989</v>
      </c>
      <c r="C6" s="1">
        <f>(B6-B5)/B5*100</f>
        <v>1918.3673469387757</v>
      </c>
      <c r="D6" s="19">
        <v>1211799738</v>
      </c>
      <c r="E6" s="47">
        <f t="shared" si="0"/>
        <v>8.1614145389425727E-5</v>
      </c>
    </row>
    <row r="7" spans="1:6" x14ac:dyDescent="0.35">
      <c r="A7" s="18">
        <v>2008</v>
      </c>
      <c r="B7" s="1">
        <v>2156</v>
      </c>
      <c r="C7" s="1">
        <f t="shared" ref="C7:C19" si="1">(B7-B6)/B6*100</f>
        <v>117.9979777553084</v>
      </c>
      <c r="D7" s="19">
        <v>1640568754</v>
      </c>
      <c r="E7" s="47">
        <f t="shared" si="0"/>
        <v>1.3141783876739616E-4</v>
      </c>
    </row>
    <row r="8" spans="1:6" x14ac:dyDescent="0.35">
      <c r="A8" s="18">
        <v>2009</v>
      </c>
      <c r="B8" s="1">
        <v>1053</v>
      </c>
      <c r="C8" s="1">
        <f t="shared" si="1"/>
        <v>-51.159554730983302</v>
      </c>
      <c r="D8" s="19">
        <v>1286715241</v>
      </c>
      <c r="E8" s="47">
        <f t="shared" si="0"/>
        <v>8.1836288748832808E-5</v>
      </c>
    </row>
    <row r="9" spans="1:6" x14ac:dyDescent="0.35">
      <c r="A9" s="18">
        <v>2010</v>
      </c>
      <c r="B9" s="19">
        <v>3810</v>
      </c>
      <c r="C9" s="1">
        <f t="shared" si="1"/>
        <v>261.82336182336184</v>
      </c>
      <c r="D9" s="19">
        <v>1761494784</v>
      </c>
      <c r="E9" s="47">
        <f t="shared" si="0"/>
        <v>2.162935726297331E-4</v>
      </c>
    </row>
    <row r="10" spans="1:6" x14ac:dyDescent="0.35">
      <c r="A10" s="18">
        <v>2011</v>
      </c>
      <c r="B10" s="19">
        <v>3322</v>
      </c>
      <c r="C10" s="1">
        <f t="shared" si="1"/>
        <v>-12.808398950131233</v>
      </c>
      <c r="D10" s="1">
        <v>3115703109</v>
      </c>
      <c r="E10" s="47">
        <f t="shared" si="0"/>
        <v>1.0662119861177055E-4</v>
      </c>
    </row>
    <row r="11" spans="1:6" x14ac:dyDescent="0.35">
      <c r="A11" s="18">
        <v>2012</v>
      </c>
      <c r="B11" s="19">
        <v>1674</v>
      </c>
      <c r="C11" s="1">
        <f t="shared" si="1"/>
        <v>-49.608669476219148</v>
      </c>
      <c r="D11" s="1">
        <v>3429967897</v>
      </c>
      <c r="E11" s="47">
        <f t="shared" si="0"/>
        <v>4.8805121513357425E-5</v>
      </c>
    </row>
    <row r="12" spans="1:6" x14ac:dyDescent="0.35">
      <c r="A12" s="18">
        <v>2013</v>
      </c>
      <c r="B12" s="3">
        <v>706</v>
      </c>
      <c r="C12" s="1">
        <f t="shared" si="1"/>
        <v>-57.825567502986864</v>
      </c>
      <c r="D12" s="1">
        <v>3571799812</v>
      </c>
      <c r="E12" s="47">
        <f t="shared" si="0"/>
        <v>1.9765945382159622E-5</v>
      </c>
    </row>
    <row r="13" spans="1:6" x14ac:dyDescent="0.35">
      <c r="A13" s="18">
        <v>2014</v>
      </c>
      <c r="B13" s="19">
        <v>751</v>
      </c>
      <c r="C13" s="1">
        <f t="shared" si="1"/>
        <v>6.3739376770538243</v>
      </c>
      <c r="D13" s="1">
        <v>3377790668</v>
      </c>
      <c r="E13" s="47">
        <f t="shared" si="0"/>
        <v>2.2233467784570244E-5</v>
      </c>
    </row>
    <row r="14" spans="1:6" x14ac:dyDescent="0.35">
      <c r="A14" s="18">
        <v>2015</v>
      </c>
      <c r="B14" s="19">
        <v>305</v>
      </c>
      <c r="C14" s="1">
        <f t="shared" si="1"/>
        <v>-59.387483355525958</v>
      </c>
      <c r="D14" s="1">
        <v>3176069000</v>
      </c>
      <c r="E14" s="47">
        <f t="shared" si="0"/>
        <v>9.6030659283535724E-6</v>
      </c>
    </row>
    <row r="15" spans="1:6" x14ac:dyDescent="0.35">
      <c r="A15" s="18">
        <v>2016</v>
      </c>
      <c r="B15" s="19">
        <v>1541</v>
      </c>
      <c r="C15" s="1">
        <f t="shared" si="1"/>
        <v>405.24590163934431</v>
      </c>
      <c r="D15" s="1">
        <v>3470468770</v>
      </c>
      <c r="E15" s="47">
        <f t="shared" si="0"/>
        <v>4.4403223372040315E-5</v>
      </c>
    </row>
    <row r="16" spans="1:6" x14ac:dyDescent="0.35">
      <c r="A16" s="18">
        <v>2017</v>
      </c>
      <c r="B16" s="19">
        <v>473</v>
      </c>
      <c r="C16" s="1">
        <f t="shared" si="1"/>
        <v>-69.305645684620373</v>
      </c>
      <c r="D16" s="1">
        <v>3934778638</v>
      </c>
      <c r="E16" s="47">
        <f t="shared" si="0"/>
        <v>1.2021006605861319E-5</v>
      </c>
      <c r="F16" s="19"/>
    </row>
    <row r="17" spans="1:6" x14ac:dyDescent="0.35">
      <c r="A17" s="18">
        <v>2018</v>
      </c>
      <c r="B17" s="3">
        <v>1913</v>
      </c>
      <c r="C17" s="1">
        <f t="shared" si="1"/>
        <v>304.43974630021143</v>
      </c>
      <c r="D17" s="1">
        <v>4531495085</v>
      </c>
      <c r="E17" s="47">
        <f t="shared" si="0"/>
        <v>4.2215647686176408E-5</v>
      </c>
      <c r="F17" s="19"/>
    </row>
    <row r="18" spans="1:6" x14ac:dyDescent="0.35">
      <c r="A18" s="18">
        <v>2019</v>
      </c>
      <c r="B18" s="19">
        <v>3880</v>
      </c>
      <c r="C18" s="1">
        <f t="shared" si="1"/>
        <v>102.82279142707789</v>
      </c>
      <c r="D18" s="1">
        <v>1106326242</v>
      </c>
      <c r="E18" s="47">
        <f t="shared" si="0"/>
        <v>3.5071029256124255E-4</v>
      </c>
    </row>
    <row r="19" spans="1:6" s="96" customFormat="1" x14ac:dyDescent="0.35">
      <c r="A19" s="90">
        <v>2020</v>
      </c>
      <c r="B19" s="91">
        <v>1008</v>
      </c>
      <c r="C19" s="1">
        <f t="shared" si="1"/>
        <v>-74.020618556701038</v>
      </c>
      <c r="D19" s="1">
        <v>3215940445</v>
      </c>
      <c r="E19" s="97">
        <f t="shared" si="0"/>
        <v>3.1343864018601255E-5</v>
      </c>
    </row>
    <row r="20" spans="1:6" s="96" customFormat="1" x14ac:dyDescent="0.35">
      <c r="A20" s="90">
        <v>2021</v>
      </c>
      <c r="B20" s="88" t="s">
        <v>66</v>
      </c>
      <c r="C20" s="88" t="s">
        <v>66</v>
      </c>
      <c r="D20" s="88" t="s">
        <v>66</v>
      </c>
      <c r="E20" s="88" t="s">
        <v>66</v>
      </c>
    </row>
    <row r="22" spans="1:6" x14ac:dyDescent="0.35">
      <c r="A22" s="18" t="s">
        <v>51</v>
      </c>
    </row>
    <row r="23" spans="1:6" x14ac:dyDescent="0.35">
      <c r="A23" s="87" t="s">
        <v>66</v>
      </c>
      <c r="B23" s="46" t="s">
        <v>68</v>
      </c>
    </row>
    <row r="31" spans="1:6" x14ac:dyDescent="0.35">
      <c r="D31" s="52"/>
    </row>
  </sheetData>
  <mergeCells count="3">
    <mergeCell ref="A2:A3"/>
    <mergeCell ref="B2:E2"/>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196B7-A15B-4D14-8EC9-21EC055A25DA}">
  <sheetPr>
    <tabColor theme="0" tint="-0.499984740745262"/>
  </sheetPr>
  <dimension ref="A1:I17"/>
  <sheetViews>
    <sheetView zoomScale="120" zoomScaleNormal="120" workbookViewId="0">
      <pane ySplit="3" topLeftCell="A10" activePane="bottomLeft" state="frozen"/>
      <selection pane="bottomLeft" activeCell="G27" sqref="G27"/>
    </sheetView>
  </sheetViews>
  <sheetFormatPr defaultColWidth="8.90625" defaultRowHeight="14.5" x14ac:dyDescent="0.35"/>
  <cols>
    <col min="1" max="1" width="8.90625" style="9"/>
    <col min="2" max="2" width="11.453125" style="9" bestFit="1" customWidth="1"/>
    <col min="3" max="3" width="12.54296875" style="9" customWidth="1"/>
    <col min="4" max="4" width="12.90625" style="9" customWidth="1"/>
    <col min="5" max="5" width="11" style="9" customWidth="1"/>
    <col min="6" max="6" width="11.453125" style="9" bestFit="1" customWidth="1"/>
    <col min="7" max="7" width="15.36328125" style="9" customWidth="1"/>
    <col min="8" max="8" width="12.36328125" style="9" bestFit="1" customWidth="1"/>
    <col min="9" max="9" width="11.1796875" style="9" customWidth="1"/>
    <col min="10" max="16384" width="8.90625" style="9"/>
  </cols>
  <sheetData>
    <row r="1" spans="1:9" s="53" customFormat="1" ht="18.5" x14ac:dyDescent="0.45">
      <c r="A1" s="48" t="s">
        <v>40</v>
      </c>
      <c r="B1" s="48"/>
      <c r="C1" s="48"/>
      <c r="D1" s="48"/>
      <c r="E1" s="48"/>
      <c r="F1" s="48"/>
      <c r="G1" s="48"/>
    </row>
    <row r="2" spans="1:9" x14ac:dyDescent="0.35">
      <c r="A2" s="128" t="s">
        <v>4</v>
      </c>
      <c r="B2" s="119" t="s">
        <v>1</v>
      </c>
      <c r="C2" s="119"/>
      <c r="D2" s="119"/>
      <c r="E2" s="119"/>
      <c r="F2" s="122" t="s">
        <v>2</v>
      </c>
      <c r="G2" s="123"/>
      <c r="H2" s="123"/>
      <c r="I2" s="124"/>
    </row>
    <row r="3" spans="1:9" ht="61.25" customHeight="1" x14ac:dyDescent="0.35">
      <c r="A3" s="128"/>
      <c r="B3" s="4" t="s">
        <v>62</v>
      </c>
      <c r="C3" s="6" t="s">
        <v>21</v>
      </c>
      <c r="D3" s="6" t="s">
        <v>28</v>
      </c>
      <c r="E3" s="6" t="s">
        <v>29</v>
      </c>
      <c r="F3" s="58" t="s">
        <v>62</v>
      </c>
      <c r="G3" s="6" t="s">
        <v>21</v>
      </c>
      <c r="H3" s="6" t="s">
        <v>30</v>
      </c>
      <c r="I3" s="6" t="s">
        <v>11</v>
      </c>
    </row>
    <row r="4" spans="1:9" x14ac:dyDescent="0.35">
      <c r="A4" s="18">
        <v>2010</v>
      </c>
      <c r="B4" s="19">
        <v>2970</v>
      </c>
      <c r="C4" s="19"/>
      <c r="D4" s="19">
        <v>179093984</v>
      </c>
      <c r="E4" s="43">
        <f>B4/D4*100</f>
        <v>1.6583471614546247E-3</v>
      </c>
      <c r="F4" s="19">
        <v>20034</v>
      </c>
      <c r="G4" s="19"/>
      <c r="H4" s="23">
        <v>786362000</v>
      </c>
      <c r="I4" s="43">
        <f>F4/H4*100</f>
        <v>2.5476816021120043E-3</v>
      </c>
    </row>
    <row r="5" spans="1:9" x14ac:dyDescent="0.35">
      <c r="A5" s="18">
        <v>2011</v>
      </c>
      <c r="B5" s="19">
        <v>28810</v>
      </c>
      <c r="C5" s="19">
        <f t="shared" ref="C5:C15" si="0">(B5-B4)/B4*100</f>
        <v>870.03367003367009</v>
      </c>
      <c r="D5" s="19">
        <v>153111162</v>
      </c>
      <c r="E5" s="43">
        <f t="shared" ref="E5:E15" si="1">B5/D5*100</f>
        <v>1.8816394326626559E-2</v>
      </c>
      <c r="F5" s="19">
        <v>7567</v>
      </c>
      <c r="G5" s="19">
        <f t="shared" ref="G5:G15" si="2">(F5-F4)/F4*100</f>
        <v>-62.229210342417886</v>
      </c>
      <c r="H5" s="35">
        <v>805751718</v>
      </c>
      <c r="I5" s="43">
        <f t="shared" ref="I5:I15" si="3">F5/H5*100</f>
        <v>9.39123036409089E-4</v>
      </c>
    </row>
    <row r="6" spans="1:9" x14ac:dyDescent="0.35">
      <c r="A6" s="18">
        <v>2012</v>
      </c>
      <c r="B6" s="19">
        <v>7900</v>
      </c>
      <c r="C6" s="19">
        <f t="shared" si="0"/>
        <v>-72.578965636931628</v>
      </c>
      <c r="D6" s="19">
        <v>176427618</v>
      </c>
      <c r="E6" s="43">
        <f t="shared" si="1"/>
        <v>4.477756991538592E-3</v>
      </c>
      <c r="F6" s="19">
        <v>26865</v>
      </c>
      <c r="G6" s="19">
        <f t="shared" si="2"/>
        <v>255.02841284524908</v>
      </c>
      <c r="H6" s="35">
        <v>791973802</v>
      </c>
      <c r="I6" s="43">
        <f t="shared" si="3"/>
        <v>3.3921576612959727E-3</v>
      </c>
    </row>
    <row r="7" spans="1:9" x14ac:dyDescent="0.35">
      <c r="A7" s="18">
        <v>2013</v>
      </c>
      <c r="B7" s="19">
        <v>580</v>
      </c>
      <c r="C7" s="19">
        <f t="shared" si="0"/>
        <v>-92.658227848101276</v>
      </c>
      <c r="D7" s="19">
        <v>144103200</v>
      </c>
      <c r="E7" s="43">
        <f t="shared" si="1"/>
        <v>4.0248932709336088E-4</v>
      </c>
      <c r="F7" s="19">
        <v>147420</v>
      </c>
      <c r="G7" s="19">
        <f t="shared" si="2"/>
        <v>448.74371859296485</v>
      </c>
      <c r="H7" s="35">
        <v>851292154</v>
      </c>
      <c r="I7" s="43">
        <f t="shared" si="3"/>
        <v>1.7317204124026261E-2</v>
      </c>
    </row>
    <row r="8" spans="1:9" x14ac:dyDescent="0.35">
      <c r="A8" s="18">
        <v>2014</v>
      </c>
      <c r="B8" s="19">
        <v>519</v>
      </c>
      <c r="C8" s="19">
        <f t="shared" si="0"/>
        <v>-10.517241379310345</v>
      </c>
      <c r="D8" s="19">
        <v>117400172</v>
      </c>
      <c r="E8" s="43">
        <f t="shared" si="1"/>
        <v>4.4207771688784236E-4</v>
      </c>
      <c r="F8" s="19">
        <v>198462</v>
      </c>
      <c r="G8" s="19">
        <f t="shared" si="2"/>
        <v>34.623524623524624</v>
      </c>
      <c r="H8" s="35">
        <v>895325981</v>
      </c>
      <c r="I8" s="43">
        <f t="shared" si="3"/>
        <v>2.2166451573128201E-2</v>
      </c>
    </row>
    <row r="9" spans="1:9" x14ac:dyDescent="0.35">
      <c r="A9" s="18">
        <v>2015</v>
      </c>
      <c r="B9" s="19">
        <v>420</v>
      </c>
      <c r="C9" s="19">
        <f t="shared" si="0"/>
        <v>-19.075144508670519</v>
      </c>
      <c r="D9" s="19">
        <v>136017840</v>
      </c>
      <c r="E9" s="43">
        <f t="shared" si="1"/>
        <v>3.0878302434445362E-4</v>
      </c>
      <c r="F9" s="19">
        <v>126895</v>
      </c>
      <c r="G9" s="19">
        <f t="shared" si="2"/>
        <v>-36.06080761052494</v>
      </c>
      <c r="H9" s="35">
        <v>855389663</v>
      </c>
      <c r="I9" s="43">
        <f t="shared" si="3"/>
        <v>1.4834759582545948E-2</v>
      </c>
    </row>
    <row r="10" spans="1:9" x14ac:dyDescent="0.35">
      <c r="A10" s="18">
        <v>2016</v>
      </c>
      <c r="B10" s="19">
        <v>876</v>
      </c>
      <c r="C10" s="19">
        <f t="shared" si="0"/>
        <v>108.57142857142857</v>
      </c>
      <c r="D10" s="19">
        <v>143755166</v>
      </c>
      <c r="E10" s="43">
        <f t="shared" si="1"/>
        <v>6.093694052010625E-4</v>
      </c>
      <c r="F10" s="19">
        <v>180016</v>
      </c>
      <c r="G10" s="19">
        <f t="shared" si="2"/>
        <v>41.862169510224987</v>
      </c>
      <c r="H10" s="12">
        <v>899005000</v>
      </c>
      <c r="I10" s="43">
        <f t="shared" si="3"/>
        <v>2.00239153286133E-2</v>
      </c>
    </row>
    <row r="11" spans="1:9" x14ac:dyDescent="0.35">
      <c r="A11" s="18">
        <v>2017</v>
      </c>
      <c r="B11" s="19">
        <v>62967</v>
      </c>
      <c r="C11" s="19">
        <f t="shared" si="0"/>
        <v>7088.0136986301368</v>
      </c>
      <c r="D11" s="19">
        <v>112215339</v>
      </c>
      <c r="E11" s="43">
        <f t="shared" si="1"/>
        <v>5.6112649626269009E-2</v>
      </c>
      <c r="F11" s="19">
        <v>17305</v>
      </c>
      <c r="G11" s="19">
        <f t="shared" si="2"/>
        <v>-90.386965603057504</v>
      </c>
      <c r="H11" s="12">
        <v>900997000</v>
      </c>
      <c r="I11" s="43">
        <f t="shared" si="3"/>
        <v>1.9206501242512461E-3</v>
      </c>
    </row>
    <row r="12" spans="1:9" x14ac:dyDescent="0.35">
      <c r="A12" s="18">
        <v>2018</v>
      </c>
      <c r="B12" s="19">
        <v>226423</v>
      </c>
      <c r="C12" s="19">
        <f t="shared" si="0"/>
        <v>259.58994393888861</v>
      </c>
      <c r="D12" s="19">
        <v>119204456</v>
      </c>
      <c r="E12" s="43">
        <f t="shared" si="1"/>
        <v>0.18994508057651804</v>
      </c>
      <c r="F12" s="19">
        <v>6103</v>
      </c>
      <c r="G12" s="19">
        <f t="shared" si="2"/>
        <v>-64.732736203409431</v>
      </c>
      <c r="H12" s="12">
        <v>939443298</v>
      </c>
      <c r="I12" s="43">
        <f t="shared" si="3"/>
        <v>6.4964005948978522E-4</v>
      </c>
    </row>
    <row r="13" spans="1:9" x14ac:dyDescent="0.35">
      <c r="A13" s="18">
        <v>2019</v>
      </c>
      <c r="B13" s="19">
        <v>336002</v>
      </c>
      <c r="C13" s="19">
        <f t="shared" si="0"/>
        <v>48.395701850077067</v>
      </c>
      <c r="D13" s="19">
        <v>130097446</v>
      </c>
      <c r="E13" s="43">
        <f t="shared" si="1"/>
        <v>0.25826948209267686</v>
      </c>
      <c r="F13" s="19">
        <v>17855</v>
      </c>
      <c r="G13" s="19">
        <f t="shared" si="2"/>
        <v>192.5610355562838</v>
      </c>
      <c r="H13" s="12">
        <v>1031312647</v>
      </c>
      <c r="I13" s="43">
        <f t="shared" si="3"/>
        <v>1.7312887660147155E-3</v>
      </c>
    </row>
    <row r="14" spans="1:9" x14ac:dyDescent="0.35">
      <c r="A14" s="18">
        <v>2020</v>
      </c>
      <c r="B14" s="19">
        <v>179579.56</v>
      </c>
      <c r="C14" s="19">
        <f t="shared" si="0"/>
        <v>-46.554020511782667</v>
      </c>
      <c r="D14" s="19">
        <v>99340000</v>
      </c>
      <c r="E14" s="43">
        <f t="shared" si="1"/>
        <v>0.18077265955305014</v>
      </c>
      <c r="F14" s="19">
        <v>77187</v>
      </c>
      <c r="G14" s="19">
        <f t="shared" si="2"/>
        <v>332.29907588910669</v>
      </c>
      <c r="H14" s="12">
        <v>828649702</v>
      </c>
      <c r="I14" s="43">
        <f t="shared" si="3"/>
        <v>9.3147924646209551E-3</v>
      </c>
    </row>
    <row r="15" spans="1:9" s="28" customFormat="1" x14ac:dyDescent="0.35">
      <c r="A15" s="18">
        <v>2021</v>
      </c>
      <c r="B15" s="19">
        <v>200490</v>
      </c>
      <c r="C15" s="19">
        <f t="shared" si="0"/>
        <v>11.644109162534981</v>
      </c>
      <c r="D15" s="19">
        <v>73773960</v>
      </c>
      <c r="E15" s="43">
        <f t="shared" si="1"/>
        <v>0.27176255686965972</v>
      </c>
      <c r="F15" s="19">
        <v>82593</v>
      </c>
      <c r="G15" s="19">
        <f t="shared" si="2"/>
        <v>7.0037700649073029</v>
      </c>
      <c r="H15" s="12">
        <v>941271098</v>
      </c>
      <c r="I15" s="43">
        <f t="shared" si="3"/>
        <v>8.7746240350407533E-3</v>
      </c>
    </row>
    <row r="17" spans="1:1" x14ac:dyDescent="0.35">
      <c r="A17" s="18" t="s">
        <v>53</v>
      </c>
    </row>
  </sheetData>
  <mergeCells count="3">
    <mergeCell ref="F2:I2"/>
    <mergeCell ref="A2:A3"/>
    <mergeCell ref="B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1_FJ_Production_Consumption</vt:lpstr>
      <vt:lpstr>2_FJ_Imports_</vt:lpstr>
      <vt:lpstr>3_FJ_Exports</vt:lpstr>
      <vt:lpstr>4_FJ_Contribution to GDP</vt:lpstr>
      <vt:lpstr>5_TO_Exports</vt:lpstr>
      <vt:lpstr>6_FSM_Exports</vt:lpstr>
      <vt:lpstr>7_VN_Exports</vt:lpstr>
      <vt:lpstr>8_SI_Exports</vt:lpstr>
      <vt:lpstr>9_WS_Imports_Exports</vt:lpstr>
      <vt:lpstr>10_KI_Imports</vt:lpstr>
      <vt:lpstr>11_AM_Imports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Nilima Lal</dc:creator>
  <cp:lastModifiedBy>Nilima Lal</cp:lastModifiedBy>
  <dcterms:created xsi:type="dcterms:W3CDTF">2021-08-29T22:22:19Z</dcterms:created>
  <dcterms:modified xsi:type="dcterms:W3CDTF">2022-06-19T22:31:28Z</dcterms:modified>
</cp:coreProperties>
</file>